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<sst xmlns="http://schemas.openxmlformats.org/spreadsheetml/2006/main" uniqueCount="426">
  <si>
    <t>Shareholders’ Equity</t>
  </si>
  <si>
    <t>PAS 1</t>
  </si>
  <si>
    <t>Presentation of Financial Statements</t>
  </si>
  <si>
    <t>Equity (Definition)</t>
  </si>
  <si>
    <t>PAS 32</t>
  </si>
  <si>
    <t>Presentation of Financial Instruments</t>
  </si>
  <si>
    <t>Equity Instruments / Compound Instruments</t>
  </si>
  <si>
    <t>Components / Presentation</t>
  </si>
  <si>
    <t>1. Share Capital @par (Issued)</t>
  </si>
  <si>
    <t>Ordinary Share Capital</t>
  </si>
  <si>
    <t>Legal capital (except Subscription Receivable)</t>
  </si>
  <si>
    <t>Contributed Capital</t>
  </si>
  <si>
    <t xml:space="preserve"> Preference Share Capital</t>
  </si>
  <si>
    <t xml:space="preserve"> Subscribed Share Capital (Subscription Receivable - long-term - silent)</t>
  </si>
  <si>
    <t>Stock Dividend Payable</t>
  </si>
  <si>
    <t>2. Share Premium / APIC</t>
  </si>
  <si>
    <t>Residual</t>
  </si>
  <si>
    <t>3. Other Comprehensive Income - Cummulative</t>
  </si>
  <si>
    <t>Revaluation Surplus (PPE)</t>
  </si>
  <si>
    <t>*Share in Associate</t>
  </si>
  <si>
    <t>Unrealized G/L - OCI (FVTOCI)</t>
  </si>
  <si>
    <t>*reclassification adjusments</t>
  </si>
  <si>
    <t>Translation Adjustment - G/L (Foreign Currency)</t>
  </si>
  <si>
    <t>Remeasurement G/L (Actuarial G/L, Remeasument G/L) - PAS 19R</t>
  </si>
  <si>
    <t>Effective portion of the CFH (Hedging Activities)</t>
  </si>
  <si>
    <t>4. Accumulated Profits</t>
  </si>
  <si>
    <t>Appropriated (purpose)</t>
  </si>
  <si>
    <t>Mandatory (e.i. TS)</t>
  </si>
  <si>
    <t>Contractual (e.i. Sinking Fund)</t>
  </si>
  <si>
    <t>Voluntary (e.i. Plant expansion)</t>
  </si>
  <si>
    <t>Unappropriated</t>
  </si>
  <si>
    <t>Net Income (+)</t>
  </si>
  <si>
    <t>Prior period adjustments (+/-) - Retained earnings, beg</t>
  </si>
  <si>
    <t>Change in Accounting Policy (+/-) - Retained earnings, beg</t>
  </si>
  <si>
    <t>Dividends Declaration (-)</t>
  </si>
  <si>
    <t>Capital Loss Transaction (e.i. reissuance / retirement of TS)</t>
  </si>
  <si>
    <t>Appropriation (+/-)</t>
  </si>
  <si>
    <t>Quasi-reorganization (deficit)</t>
  </si>
  <si>
    <t>Total Shareholders’ Equity</t>
  </si>
  <si>
    <t>5. Treasury Shares@cost</t>
  </si>
  <si>
    <t>deduction</t>
  </si>
  <si>
    <t>6. Discount on Share Capital (Watered Shares)</t>
  </si>
  <si>
    <t>Shares issued below par. (deduction)</t>
  </si>
  <si>
    <t>Question 1 &amp; 2</t>
  </si>
  <si>
    <t>Issued</t>
  </si>
  <si>
    <t>Outstanding</t>
  </si>
  <si>
    <t>Treasury</t>
  </si>
  <si>
    <t>Outstanding, 1/1</t>
  </si>
  <si>
    <t>Share Dividend, 3/1</t>
  </si>
  <si>
    <t>Share Dividend, 6/1</t>
  </si>
  <si>
    <t>Treasury, 7/1</t>
  </si>
  <si>
    <t>Stock Split, 12/1</t>
  </si>
  <si>
    <t>Mode of Issuance</t>
  </si>
  <si>
    <t>Consideration Received</t>
  </si>
  <si>
    <t>Incorporation</t>
  </si>
  <si>
    <t>Fair Value</t>
  </si>
  <si>
    <t>Cash</t>
  </si>
  <si>
    <t>Face Value</t>
  </si>
  <si>
    <t>Non-cash assets</t>
  </si>
  <si>
    <t>IFRS 2</t>
  </si>
  <si>
    <t>Lumpsum</t>
  </si>
  <si>
    <t>Allocate based on Total Fair Value (2 or more equity)</t>
  </si>
  <si>
    <t>1 - Debt, 1 - Equity (Fair value of the debt, excess - Equity)</t>
  </si>
  <si>
    <t>Conversion</t>
  </si>
  <si>
    <t>Bond - Carrying amount of bonds + Equity Component</t>
  </si>
  <si>
    <t>Preference - Original Issue Cost</t>
  </si>
  <si>
    <t>Subscription</t>
  </si>
  <si>
    <t>Subscription Price</t>
  </si>
  <si>
    <t>Question 3 - Incorporation</t>
  </si>
  <si>
    <t>Fair Value of NA</t>
  </si>
  <si>
    <t>OSC@par (10 * 5000sh)</t>
  </si>
  <si>
    <t>Share Premium</t>
  </si>
  <si>
    <t>Question 4 - Lumpsum</t>
  </si>
  <si>
    <t>OS - FV</t>
  </si>
  <si>
    <t>PS - FV</t>
  </si>
  <si>
    <t>Total Fair Value</t>
  </si>
  <si>
    <t>Consideration Received - OS</t>
  </si>
  <si>
    <t>OSC@par(5 * 1000sh)</t>
  </si>
  <si>
    <t>SP - OS</t>
  </si>
  <si>
    <t>Question 5 - Subscription</t>
  </si>
  <si>
    <r>
      <rPr>
        <sz val="10"/>
        <color indexed="8"/>
        <rFont val="Helvetica Neue"/>
      </rPr>
      <t xml:space="preserve">Only issue shares upon </t>
    </r>
    <r>
      <rPr>
        <b val="1"/>
        <sz val="10"/>
        <color indexed="8"/>
        <rFont val="Helvetica Neue"/>
      </rPr>
      <t xml:space="preserve">FULL payment </t>
    </r>
    <r>
      <rPr>
        <sz val="10"/>
        <color indexed="8"/>
        <rFont val="Helvetica Neue"/>
      </rPr>
      <t>(subscription)</t>
    </r>
  </si>
  <si>
    <t>DR: Subscription Receivable</t>
  </si>
  <si>
    <t>x</t>
  </si>
  <si>
    <t>CR: Subscribed SC</t>
  </si>
  <si>
    <t>CR: Share Premium</t>
  </si>
  <si>
    <t>DR: Cash</t>
  </si>
  <si>
    <t>CR: Subscription Receivable</t>
  </si>
  <si>
    <t>Upon full payment:</t>
  </si>
  <si>
    <t>DR: Subscribed SC</t>
  </si>
  <si>
    <t>CR: Ordinary SC</t>
  </si>
  <si>
    <t>Donation of own shares?</t>
  </si>
  <si>
    <t>Treasury Share@cost (no consideration)</t>
  </si>
  <si>
    <t>Memo entry</t>
  </si>
  <si>
    <t>Accounting of TS</t>
  </si>
  <si>
    <t>Cost Model</t>
  </si>
  <si>
    <t>Acquisition:</t>
  </si>
  <si>
    <t>DR: TS</t>
  </si>
  <si>
    <t>CR: Cash</t>
  </si>
  <si>
    <t>Reissuance</t>
  </si>
  <si>
    <t>Reissue Price vs Cost</t>
  </si>
  <si>
    <t>RP = Cost</t>
  </si>
  <si>
    <t>No Capital G/L</t>
  </si>
  <si>
    <t>RP &gt; Cost</t>
  </si>
  <si>
    <t>Capita Gain - SP from TS</t>
  </si>
  <si>
    <t>RP &lt; Cost</t>
  </si>
  <si>
    <t>Capital Loss</t>
  </si>
  <si>
    <t>1. SP from TS (same class)</t>
  </si>
  <si>
    <t>2. Unappropriated AP/RE</t>
  </si>
  <si>
    <t>Retirement</t>
  </si>
  <si>
    <t>Par Value vs Cost</t>
  </si>
  <si>
    <t>=</t>
  </si>
  <si>
    <t>Par &gt; Cost</t>
  </si>
  <si>
    <t>Par &lt; Cost</t>
  </si>
  <si>
    <t>1. SP from Original Issue Cost</t>
  </si>
  <si>
    <t>2. SP from TS (same class)</t>
  </si>
  <si>
    <t>3. Unappropriated AP/RE</t>
  </si>
  <si>
    <t>Question 6 - donation</t>
  </si>
  <si>
    <t>Question 7 - Lumpsum</t>
  </si>
  <si>
    <t>Fair Value of Bond</t>
  </si>
  <si>
    <t>Fair Value of OS - residual</t>
  </si>
  <si>
    <t>OSC@par(5*1000sh)</t>
  </si>
  <si>
    <t>Question 8 - Conversion</t>
  </si>
  <si>
    <t>OSC@par(25*15000sh)</t>
  </si>
  <si>
    <t>DR: Preference SC</t>
  </si>
  <si>
    <t>DR: Share Premium - PS</t>
  </si>
  <si>
    <t>CRL Share Premium - OS</t>
  </si>
  <si>
    <t>Question 9 - Contributed Capital</t>
  </si>
  <si>
    <t>Contributed Capital, 6/30</t>
  </si>
  <si>
    <t>Stock rights exercised</t>
  </si>
  <si>
    <t>Contributed Capital, 12/31</t>
  </si>
  <si>
    <t>Total Stock Rights</t>
  </si>
  <si>
    <t>Additional shares - exercised</t>
  </si>
  <si>
    <t>Cr: Share Premium</t>
  </si>
  <si>
    <t>Exercise Price</t>
  </si>
  <si>
    <t>OSC@par(25*4000sh)</t>
  </si>
  <si>
    <t>Question 10 - Reissuance of TS</t>
  </si>
  <si>
    <t>TS@7/28</t>
  </si>
  <si>
    <t>Share Premium,12/31</t>
  </si>
  <si>
    <t>Reissue Price</t>
  </si>
  <si>
    <t>Cost</t>
  </si>
  <si>
    <t>SP from TS</t>
  </si>
  <si>
    <t>Question 11 - Reissuance of TS</t>
  </si>
  <si>
    <t>Decrease in TS</t>
  </si>
  <si>
    <t>SHE - increase</t>
  </si>
  <si>
    <t>Question 12 - Retirement</t>
  </si>
  <si>
    <t>Treasury Shares</t>
  </si>
  <si>
    <t>Par Value</t>
  </si>
  <si>
    <t>SP from Original Issuance (100-10)</t>
  </si>
  <si>
    <t>Unappropriated AP/RE</t>
  </si>
  <si>
    <t>DR: Treasury Share</t>
  </si>
  <si>
    <t>DR: Ordinary SC</t>
  </si>
  <si>
    <t>DR: SP - OS</t>
  </si>
  <si>
    <t>DR: Accumulated Profits</t>
  </si>
  <si>
    <t>CR: Treasury Share</t>
  </si>
  <si>
    <t>Question 13 - TSHE</t>
  </si>
  <si>
    <t xml:space="preserve">Share Capital </t>
  </si>
  <si>
    <t>OCI - Cummulative</t>
  </si>
  <si>
    <t>Retained Earnings</t>
  </si>
  <si>
    <t>Treasury Shares@cost</t>
  </si>
  <si>
    <t>Legal Capital?</t>
  </si>
  <si>
    <t>Contributed Capital?</t>
  </si>
  <si>
    <t>Accounting for Dividends</t>
  </si>
  <si>
    <t>Issued, Outstanding and Subscribed</t>
  </si>
  <si>
    <t>Property (IFRIC 17)</t>
  </si>
  <si>
    <t>Fair Value (remeasurement)</t>
  </si>
  <si>
    <t>Stock/Shares</t>
  </si>
  <si>
    <t>20% Rule</t>
  </si>
  <si>
    <t>Below 20% - Fair Value</t>
  </si>
  <si>
    <t>20% and above - Par Value</t>
  </si>
  <si>
    <t>Liquidating</t>
  </si>
  <si>
    <t>Return of Capital</t>
  </si>
  <si>
    <t>Preference Share Capital</t>
  </si>
  <si>
    <t>- noncumulative</t>
  </si>
  <si>
    <t>Preferential rate (per annum)</t>
  </si>
  <si>
    <t>- cumulative</t>
  </si>
  <si>
    <t>Preferential rate (per annum) * years in arrears</t>
  </si>
  <si>
    <t>- nonparticipating</t>
  </si>
  <si>
    <t>Excess - no share</t>
  </si>
  <si>
    <t>- participating</t>
  </si>
  <si>
    <t>Excess - share, it depends</t>
  </si>
  <si>
    <t>Excess - allocated based on Total Par Value. (If no rate for preference)</t>
  </si>
  <si>
    <t>- ordinary share capital - preferential rate (lowest among participating)</t>
  </si>
  <si>
    <t>- noncumulative and nonparticipating (défault)</t>
  </si>
  <si>
    <t>Question 1 - Cash Dividend</t>
  </si>
  <si>
    <t>OS</t>
  </si>
  <si>
    <t>PS</t>
  </si>
  <si>
    <t>Dividends</t>
  </si>
  <si>
    <t>PS - 5% (300000*5%)</t>
  </si>
  <si>
    <t>OS - 5% (200000*5%)</t>
  </si>
  <si>
    <t>Excess</t>
  </si>
  <si>
    <t>PS (300000/500000) * 75000</t>
  </si>
  <si>
    <t>OS (200000/500000) * 75000</t>
  </si>
  <si>
    <t>Cash Dividends</t>
  </si>
  <si>
    <t>DR: Retained Earnings</t>
  </si>
  <si>
    <t>CR: Dividend Payable</t>
  </si>
  <si>
    <r>
      <rPr>
        <sz val="10"/>
        <color indexed="8"/>
        <rFont val="Helvetica Neue"/>
      </rPr>
      <t xml:space="preserve">Preference participates </t>
    </r>
    <r>
      <rPr>
        <b val="1"/>
        <sz val="10"/>
        <color indexed="8"/>
        <rFont val="Helvetica Neue"/>
      </rPr>
      <t xml:space="preserve">up to </t>
    </r>
    <r>
      <rPr>
        <sz val="10"/>
        <color indexed="8"/>
        <rFont val="Helvetica Neue"/>
      </rPr>
      <t>8%?</t>
    </r>
  </si>
  <si>
    <t>PS (3% * 300000)</t>
  </si>
  <si>
    <t>OS (75000 - 9000)</t>
  </si>
  <si>
    <t>Question 2 - Stock Dividend</t>
  </si>
  <si>
    <t>Fair Value - 10%</t>
  </si>
  <si>
    <t>Par Value - 25%</t>
  </si>
  <si>
    <t>Charged to RE</t>
  </si>
  <si>
    <t>CR: Stock Dividend Payable</t>
  </si>
  <si>
    <t>CR: SP from Stock Dividend</t>
  </si>
  <si>
    <t>Question 3 - Property Dividend</t>
  </si>
  <si>
    <t>IFRIC 17</t>
  </si>
  <si>
    <t>Property Dividend@FV (remeasurement)</t>
  </si>
  <si>
    <t>Options given to shareholders?</t>
  </si>
  <si>
    <t>Proportionate / Probability</t>
  </si>
  <si>
    <t>Property</t>
  </si>
  <si>
    <t>Issued and Outstanding</t>
  </si>
  <si>
    <t>Probabiity</t>
  </si>
  <si>
    <t>Valuation for Cash/Property</t>
  </si>
  <si>
    <t>Total Dividend Payable</t>
  </si>
  <si>
    <t>Question 4 - Liquidating</t>
  </si>
  <si>
    <t>Dividend Declared</t>
  </si>
  <si>
    <t>Liquidating Dividends</t>
  </si>
  <si>
    <t>Accumulated Profits</t>
  </si>
  <si>
    <t>Question 1</t>
  </si>
  <si>
    <t>Total income since incorporation</t>
  </si>
  <si>
    <t>Total cash dividends paid</t>
  </si>
  <si>
    <t>Total value of property dividends distributed</t>
  </si>
  <si>
    <t>Accumulated Profits, 12/31/2015</t>
  </si>
  <si>
    <t>Question 2</t>
  </si>
  <si>
    <t>Retained Earnings, 1/1/2014</t>
  </si>
  <si>
    <t>Depreciation 2012 - under (PPA)</t>
  </si>
  <si>
    <t>Change in inventory method (AP)</t>
  </si>
  <si>
    <t>Retained Earnings - adjusted, 1/1/2014</t>
  </si>
  <si>
    <t>Income after income tax</t>
  </si>
  <si>
    <t>Retained Earnings, 12/31/2014</t>
  </si>
  <si>
    <t>Quasi-Reorganization</t>
  </si>
  <si>
    <t>Retained Earnings - DEFICIT</t>
  </si>
  <si>
    <t>* to eliminate the deficit</t>
  </si>
  <si>
    <t>1. Remeasure Assets and Liabilities</t>
  </si>
  <si>
    <t>- charge to Retained Earnings directly</t>
  </si>
  <si>
    <t>2. Reorganization Plan</t>
  </si>
  <si>
    <t>- contribution from shareholders</t>
  </si>
  <si>
    <t>- convert share capital to share premium</t>
  </si>
  <si>
    <t>3. Share Premium - used to eliminate the deficit</t>
  </si>
  <si>
    <t>Retained Earnings (deficit)</t>
  </si>
  <si>
    <t>Decrease in inventory</t>
  </si>
  <si>
    <t>DR: RE, CR: Inventory</t>
  </si>
  <si>
    <t>Decrease in equipment</t>
  </si>
  <si>
    <t>DR: RE, CR: Equipment</t>
  </si>
  <si>
    <t>Retained Earnings (deficit) - adjust</t>
  </si>
  <si>
    <t>Reduced Par Value (6000000*1/3)</t>
  </si>
  <si>
    <t>DR: SC, CR: SP</t>
  </si>
  <si>
    <t>Share Premium - adjusted</t>
  </si>
  <si>
    <t>Contribution required</t>
  </si>
  <si>
    <t>DR: Cash, CR: SP</t>
  </si>
  <si>
    <t>Share Premium - expected</t>
  </si>
  <si>
    <t xml:space="preserve">DR: Share Premium </t>
  </si>
  <si>
    <t>CR: Retained Earnings</t>
  </si>
  <si>
    <t>Other Comprehensive Income</t>
  </si>
  <si>
    <t>Pension liability adjustment recognized in OCI</t>
  </si>
  <si>
    <t>Unrealized gain on available-for-sale securities</t>
  </si>
  <si>
    <t>Reclassification adjustment, for securities gain included in net income</t>
  </si>
  <si>
    <t>Net income</t>
  </si>
  <si>
    <t>Comprensive Income</t>
  </si>
  <si>
    <t>Book Value per Share</t>
  </si>
  <si>
    <t>Assumption?</t>
  </si>
  <si>
    <t>Under Liquidation</t>
  </si>
  <si>
    <t>- Subscriptions are fully paid</t>
  </si>
  <si>
    <t>- Treasury shares are retired</t>
  </si>
  <si>
    <t>Single Class - Ordinary</t>
  </si>
  <si>
    <t>Total SHE / # of OS outstanding</t>
  </si>
  <si>
    <t>Two Classes - Ordinary and Preference</t>
  </si>
  <si>
    <t>Preference</t>
  </si>
  <si>
    <t>Total BV of Preference*/ # of PS outstanding</t>
  </si>
  <si>
    <t>*Liquidation Value</t>
  </si>
  <si>
    <t>*Dividends</t>
  </si>
  <si>
    <t>*noncummulative - Current Dividend</t>
  </si>
  <si>
    <t>- if paid, do not included</t>
  </si>
  <si>
    <t>*cummulative - Dividends in arrears</t>
  </si>
  <si>
    <t>*Liquidation Premium (LV - Par)</t>
  </si>
  <si>
    <t>*nonparticipating - disrecard</t>
  </si>
  <si>
    <t>*Liquidation Preference (LV + Dividends)</t>
  </si>
  <si>
    <t>*participating</t>
  </si>
  <si>
    <t>Excess over Par</t>
  </si>
  <si>
    <t>Total SHE - Total Par Vaue</t>
  </si>
  <si>
    <t>*Share premium</t>
  </si>
  <si>
    <t>*OCI</t>
  </si>
  <si>
    <t>*Accumulated profits</t>
  </si>
  <si>
    <t>*similar to dividend calculation - participating (add’l excess over par and liquidation premium)</t>
  </si>
  <si>
    <t>Ordinary</t>
  </si>
  <si>
    <t>Total SHE - Total BV of Presence / # of OS outstanding</t>
  </si>
  <si>
    <t>Liquidation Value</t>
  </si>
  <si>
    <t>Dividends (8%*50*20000sh)</t>
  </si>
  <si>
    <t>Total BV of Preference</t>
  </si>
  <si>
    <t># of PS outstanding</t>
  </si>
  <si>
    <t>BVPS - Preference</t>
  </si>
  <si>
    <t>Total SHE</t>
  </si>
  <si>
    <t>Total BV of Ordinary</t>
  </si>
  <si>
    <t># of OS outstanding</t>
  </si>
  <si>
    <t>BVPS - Ordinary</t>
  </si>
  <si>
    <t>Dividends (6%*1000000)</t>
  </si>
  <si>
    <t>Question 3</t>
  </si>
  <si>
    <t>Question 4</t>
  </si>
  <si>
    <t>Liquidation Value (3400sh*115)</t>
  </si>
  <si>
    <t>Dividends (6%*3400sh*100)</t>
  </si>
  <si>
    <t>Question 5</t>
  </si>
  <si>
    <t>Total Par Value</t>
  </si>
  <si>
    <t>Excess over par</t>
  </si>
  <si>
    <t>Share premium – preference shares</t>
  </si>
  <si>
    <t>Share premium – ordinary shares</t>
  </si>
  <si>
    <t>Par Value (600sh * 100)</t>
  </si>
  <si>
    <t>Retained earnings</t>
  </si>
  <si>
    <t>Reserve for bond retirement</t>
  </si>
  <si>
    <t>Retirement of TS</t>
  </si>
  <si>
    <t>Share Premium - OI</t>
  </si>
  <si>
    <t>PS - 6%(3400sh*100*6%)</t>
  </si>
  <si>
    <t>Liquidation Premium(15*3400sh)</t>
  </si>
  <si>
    <t>OS - 6% (8000sh*100*6%)</t>
  </si>
  <si>
    <t>PS (340000/1140000 * 950200)</t>
  </si>
  <si>
    <t>OS (800000/1140000 * 950200)</t>
  </si>
  <si>
    <t>Share in Excess over Par</t>
  </si>
  <si>
    <t>Total BV</t>
  </si>
  <si>
    <t># of share outstanding</t>
  </si>
  <si>
    <t>BVPS</t>
  </si>
  <si>
    <t>PAS 33 - Earnings per Share</t>
  </si>
  <si>
    <t>Basic EPS</t>
  </si>
  <si>
    <t>Net Income - Preference Dividend / Weighted average ordinary shares outstanding</t>
  </si>
  <si>
    <t>*Preference Dividend</t>
  </si>
  <si>
    <t>- cumulative - Current Dividend whether declared or not</t>
  </si>
  <si>
    <t>- noncumulative - Current Dividend when declared</t>
  </si>
  <si>
    <t>*Weighted average OSO</t>
  </si>
  <si>
    <t>- date of issue or the beginning of the year whichever is earlier</t>
  </si>
  <si>
    <r>
      <rPr>
        <sz val="10"/>
        <color indexed="8"/>
        <rFont val="Helvetica Neue"/>
      </rPr>
      <t xml:space="preserve">*stock dividends, stock rights and stock splits - </t>
    </r>
    <r>
      <rPr>
        <i val="1"/>
        <sz val="10"/>
        <color indexed="8"/>
        <rFont val="Helvetica Neue"/>
      </rPr>
      <t>date of issue or beginning of the year whichever is earlier</t>
    </r>
  </si>
  <si>
    <t>Comparative statement</t>
  </si>
  <si>
    <r>
      <rPr>
        <sz val="10"/>
        <color indexed="8"/>
        <rFont val="Helvetica Neue"/>
      </rPr>
      <t xml:space="preserve">*stock dividends, stock rights and stock splits - </t>
    </r>
    <r>
      <rPr>
        <i val="1"/>
        <sz val="10"/>
        <color indexed="8"/>
        <rFont val="Helvetica Neue"/>
      </rPr>
      <t>date of issue or beginning of the year, previous year whichever is earlier</t>
    </r>
  </si>
  <si>
    <t>Beginning, 1/1 - 2018</t>
  </si>
  <si>
    <t>Issued,  3/1</t>
  </si>
  <si>
    <t>Total</t>
  </si>
  <si>
    <t>Stock dividend - 7/1</t>
  </si>
  <si>
    <t>Issued, 10/1</t>
  </si>
  <si>
    <t>Treasury, 12/1</t>
  </si>
  <si>
    <t>Beginning, 1/1 - 2019</t>
  </si>
  <si>
    <t>Stock split, 6/1</t>
  </si>
  <si>
    <t>Issued, 9/1</t>
  </si>
  <si>
    <t>Ending, 12/31</t>
  </si>
  <si>
    <t>329800sh * 12/12 * 3</t>
  </si>
  <si>
    <t>60000sh *4/12</t>
  </si>
  <si>
    <t>WAOSO</t>
  </si>
  <si>
    <t>250000sh*12/12*1.2*3</t>
  </si>
  <si>
    <t>24000sh*10/12*1.2*3</t>
  </si>
  <si>
    <t>16000*3/12*3</t>
  </si>
  <si>
    <t>(15000sh*1/12*3)</t>
  </si>
  <si>
    <t>Diluted EPS</t>
  </si>
  <si>
    <t>Net Income - Preference Dividend</t>
  </si>
  <si>
    <t>+ 0</t>
  </si>
  <si>
    <t>+ Interest, net of Tax</t>
  </si>
  <si>
    <t>+ Preference Dividend</t>
  </si>
  <si>
    <t>Weighted average ordinary shares outstanding</t>
  </si>
  <si>
    <t>+ Potential OS</t>
  </si>
  <si>
    <t>Stock options and warrants</t>
  </si>
  <si>
    <t>Convertible bonds</t>
  </si>
  <si>
    <t>Convertible PS</t>
  </si>
  <si>
    <t>Dilutive or Antidilutive?</t>
  </si>
  <si>
    <t>Exercise Price vs Average Market Price</t>
  </si>
  <si>
    <t>EP = Ave MP</t>
  </si>
  <si>
    <t>EP &gt; Ave MP</t>
  </si>
  <si>
    <t>Antidilutive</t>
  </si>
  <si>
    <t>EP &lt; Ave MP</t>
  </si>
  <si>
    <t>Dilutive</t>
  </si>
  <si>
    <t>*Potential OS (Treasury Share Method)</t>
  </si>
  <si>
    <t>Shares Execised</t>
  </si>
  <si>
    <t>x sh</t>
  </si>
  <si>
    <t>Treasury Shares(buyback) (Total EP/Ave MP)</t>
  </si>
  <si>
    <t>(x sh)</t>
  </si>
  <si>
    <t>Potential OS</t>
  </si>
  <si>
    <t>Convertible Bonds</t>
  </si>
  <si>
    <t>Basic EPS vs Incremental EPS</t>
  </si>
  <si>
    <t>BEPS &gt; Incremental EPS</t>
  </si>
  <si>
    <t>BEPS &lt; Incremental EPS</t>
  </si>
  <si>
    <t>Multiple Dilutive Securities?</t>
  </si>
  <si>
    <t>1. Rank dilutive securities (1 - lowest)</t>
  </si>
  <si>
    <t>2. Apply each and check if diluted or not</t>
  </si>
  <si>
    <t>- not diluted, reject go to next securities</t>
  </si>
  <si>
    <t>Preference Dividend</t>
  </si>
  <si>
    <t>Incremental EPS</t>
  </si>
  <si>
    <t>Dilutive - 2</t>
  </si>
  <si>
    <t>Interest expense, net of Tax</t>
  </si>
  <si>
    <t>Dilutive - 1</t>
  </si>
  <si>
    <t>Rank 1 - Convertible Bonds</t>
  </si>
  <si>
    <t>Accept</t>
  </si>
  <si>
    <t>Rank 2 - Convertible PS</t>
  </si>
  <si>
    <t>Adjusted Net income</t>
  </si>
  <si>
    <t>IFRS 2 - Share-based Payments</t>
  </si>
  <si>
    <t>Payment thru:</t>
  </si>
  <si>
    <t>1. Shares</t>
  </si>
  <si>
    <t>Equity-settled</t>
  </si>
  <si>
    <t>2. Value of shares</t>
  </si>
  <si>
    <t>Cash-settled</t>
  </si>
  <si>
    <t>Equity-settled (APIC)</t>
  </si>
  <si>
    <t>e.i. Stock Options</t>
  </si>
  <si>
    <t>Measurement:</t>
  </si>
  <si>
    <t>Fair Value @grant date</t>
  </si>
  <si>
    <t>No FV?</t>
  </si>
  <si>
    <t>Intrinsic Value Method (MV - EP)</t>
  </si>
  <si>
    <t>Journal entry:</t>
  </si>
  <si>
    <t>DR: Compensation Expense</t>
  </si>
  <si>
    <t>CR: API (Share Options Outstanding)</t>
  </si>
  <si>
    <t>Condition? (Performance vs Market)</t>
  </si>
  <si>
    <t>Compensation expense</t>
  </si>
  <si>
    <t># of stock options</t>
  </si>
  <si>
    <t>x FV of grant date</t>
  </si>
  <si>
    <t>x proportionate of the vesting period</t>
  </si>
  <si>
    <t>No FV? Intrinsic Value</t>
  </si>
  <si>
    <t>Cash-settled (Liability)</t>
  </si>
  <si>
    <t>e.i. Share appreciation rights</t>
  </si>
  <si>
    <t>FV of shares at the end or reporting period</t>
  </si>
  <si>
    <t>CR: SARS Payable / Salaries Payable</t>
  </si>
  <si>
    <t># of SARS</t>
  </si>
  <si>
    <t>x FV of end of the reporting period</t>
  </si>
  <si>
    <t>2018</t>
  </si>
  <si>
    <t>Total compensation expense</t>
  </si>
  <si>
    <t>Vesting Period</t>
  </si>
  <si>
    <t>Compensation expense - 2018</t>
  </si>
  <si>
    <t>2019</t>
  </si>
  <si>
    <t>Compensation expense - 2019</t>
  </si>
  <si>
    <t>Question 6</t>
  </si>
  <si>
    <t># of Share options</t>
  </si>
  <si>
    <t>FV at grant date - Intrinsic vaue</t>
  </si>
  <si>
    <t>Question 7</t>
  </si>
  <si>
    <t># of SARs</t>
  </si>
  <si>
    <t>FV (FV, end - FV, grant date)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</si>
</sst>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/d"/>
    <numFmt numFmtId="60" formatCode="0.0%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i val="1"/>
      <sz val="10"/>
      <color indexed="8"/>
      <name val="Helvetica Neue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10"/>
      </bottom>
      <diagonal/>
    </border>
    <border>
      <left style="thin">
        <color indexed="9"/>
      </left>
      <right style="thin">
        <color indexed="9"/>
      </right>
      <top style="thick">
        <color indexed="10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1" applyFont="1" applyFill="0" applyBorder="1" applyAlignment="1" applyProtection="0">
      <alignment vertical="top" wrapText="1"/>
    </xf>
    <xf numFmtId="59" fontId="0" borderId="1" applyNumberFormat="1" applyFont="1" applyFill="0" applyBorder="1" applyAlignment="1" applyProtection="0">
      <alignment vertical="top" wrapText="1"/>
    </xf>
    <xf numFmtId="60" fontId="0" borderId="1" applyNumberFormat="1" applyFont="1" applyFill="0" applyBorder="1" applyAlignment="1" applyProtection="0">
      <alignment vertical="top" wrapText="1"/>
    </xf>
    <xf numFmtId="49" fontId="0" borderId="2" applyNumberFormat="1" applyFont="1" applyFill="0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49" fontId="3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536"/>
  <sheetViews>
    <sheetView workbookViewId="0" showGridLines="0" defaultGridColor="1"/>
  </sheetViews>
  <sheetFormatPr defaultColWidth="16.3333" defaultRowHeight="19.9" customHeight="1" outlineLevelRow="0" outlineLevelCol="0"/>
  <cols>
    <col min="1" max="1" width="27.7734" style="1" customWidth="1"/>
    <col min="2" max="2" width="36.4922" style="1" customWidth="1"/>
    <col min="3" max="3" width="30.3984" style="1" customWidth="1"/>
    <col min="4" max="4" width="21.4453" style="1" customWidth="1"/>
    <col min="5" max="5" width="21.25" style="1" customWidth="1"/>
    <col min="6" max="6" width="16.3516" style="1" customWidth="1"/>
    <col min="7" max="16384" width="16.3516" style="1" customWidth="1"/>
  </cols>
  <sheetData>
    <row r="1" ht="20.05" customHeight="1">
      <c r="A1" t="s" s="2">
        <v>0</v>
      </c>
      <c r="B1" s="3"/>
      <c r="C1" s="3"/>
      <c r="D1" s="3"/>
      <c r="E1" s="3"/>
      <c r="F1" s="3"/>
    </row>
    <row r="2" ht="20.05" customHeight="1">
      <c r="A2" t="s" s="4">
        <v>1</v>
      </c>
      <c r="B2" t="s" s="4">
        <v>2</v>
      </c>
      <c r="C2" t="s" s="4">
        <v>3</v>
      </c>
      <c r="D2" s="3"/>
      <c r="E2" s="3"/>
      <c r="F2" s="3"/>
    </row>
    <row r="3" ht="32.05" customHeight="1">
      <c r="A3" t="s" s="4">
        <v>4</v>
      </c>
      <c r="B3" t="s" s="4">
        <v>5</v>
      </c>
      <c r="C3" t="s" s="4">
        <v>6</v>
      </c>
      <c r="D3" s="3"/>
      <c r="E3" s="3"/>
      <c r="F3" s="3"/>
    </row>
    <row r="4" ht="20.05" customHeight="1">
      <c r="A4" s="3"/>
      <c r="B4" s="3"/>
      <c r="C4" s="3"/>
      <c r="D4" s="3"/>
      <c r="E4" s="3"/>
      <c r="F4" s="3"/>
    </row>
    <row r="5" ht="20.05" customHeight="1">
      <c r="A5" t="s" s="4">
        <v>7</v>
      </c>
      <c r="B5" s="3"/>
      <c r="C5" s="3"/>
      <c r="D5" s="3"/>
      <c r="E5" s="3"/>
      <c r="F5" s="3"/>
    </row>
    <row r="6" ht="32.05" customHeight="1">
      <c r="A6" t="s" s="4">
        <v>8</v>
      </c>
      <c r="B6" t="s" s="4">
        <v>9</v>
      </c>
      <c r="C6" s="3"/>
      <c r="D6" t="s" s="4">
        <v>10</v>
      </c>
      <c r="E6" t="s" s="4">
        <v>11</v>
      </c>
      <c r="F6" s="3"/>
    </row>
    <row r="7" ht="20.05" customHeight="1">
      <c r="A7" s="3"/>
      <c r="B7" t="s" s="4">
        <v>12</v>
      </c>
      <c r="C7" s="3"/>
      <c r="D7" s="3"/>
      <c r="E7" s="3"/>
      <c r="F7" s="3"/>
    </row>
    <row r="8" ht="32.05" customHeight="1">
      <c r="A8" s="3"/>
      <c r="B8" t="s" s="4">
        <v>13</v>
      </c>
      <c r="C8" s="3"/>
      <c r="D8" s="3"/>
      <c r="E8" s="3"/>
      <c r="F8" s="3"/>
    </row>
    <row r="9" ht="20.05" customHeight="1">
      <c r="A9" s="3"/>
      <c r="B9" t="s" s="4">
        <v>14</v>
      </c>
      <c r="C9" s="3"/>
      <c r="D9" s="3"/>
      <c r="E9" s="3"/>
      <c r="F9" s="3"/>
    </row>
    <row r="10" ht="20.05" customHeight="1">
      <c r="A10" t="s" s="4">
        <v>15</v>
      </c>
      <c r="B10" t="s" s="4">
        <v>16</v>
      </c>
      <c r="C10" s="3"/>
      <c r="D10" s="3"/>
      <c r="E10" t="s" s="4">
        <v>11</v>
      </c>
      <c r="F10" s="3"/>
    </row>
    <row r="11" ht="32.05" customHeight="1">
      <c r="A11" t="s" s="4">
        <v>17</v>
      </c>
      <c r="B11" t="s" s="4">
        <v>18</v>
      </c>
      <c r="C11" t="s" s="4">
        <v>19</v>
      </c>
      <c r="D11" s="3"/>
      <c r="E11" s="3"/>
      <c r="F11" s="3"/>
    </row>
    <row r="12" ht="20.05" customHeight="1">
      <c r="A12" s="3"/>
      <c r="B12" t="s" s="4">
        <v>20</v>
      </c>
      <c r="C12" t="s" s="4">
        <v>21</v>
      </c>
      <c r="D12" s="3"/>
      <c r="E12" s="3"/>
      <c r="F12" s="3"/>
    </row>
    <row r="13" ht="32.05" customHeight="1">
      <c r="A13" s="3"/>
      <c r="B13" t="s" s="4">
        <v>22</v>
      </c>
      <c r="C13" s="3"/>
      <c r="D13" s="3"/>
      <c r="E13" s="3"/>
      <c r="F13" s="3"/>
    </row>
    <row r="14" ht="32.05" customHeight="1">
      <c r="A14" s="3"/>
      <c r="B14" t="s" s="4">
        <v>23</v>
      </c>
      <c r="C14" s="3"/>
      <c r="D14" s="3"/>
      <c r="E14" s="3"/>
      <c r="F14" s="3"/>
    </row>
    <row r="15" ht="32.05" customHeight="1">
      <c r="A15" s="3"/>
      <c r="B15" t="s" s="4">
        <v>24</v>
      </c>
      <c r="C15" s="3"/>
      <c r="D15" s="3"/>
      <c r="E15" s="3"/>
      <c r="F15" s="3"/>
    </row>
    <row r="16" ht="20.05" customHeight="1">
      <c r="A16" t="s" s="4">
        <v>25</v>
      </c>
      <c r="B16" t="s" s="4">
        <v>26</v>
      </c>
      <c r="C16" t="s" s="4">
        <v>27</v>
      </c>
      <c r="D16" s="3"/>
      <c r="E16" s="3"/>
      <c r="F16" s="3"/>
    </row>
    <row r="17" ht="20.05" customHeight="1">
      <c r="A17" s="3"/>
      <c r="B17" s="3"/>
      <c r="C17" t="s" s="4">
        <v>28</v>
      </c>
      <c r="D17" s="3"/>
      <c r="E17" s="3"/>
      <c r="F17" s="3"/>
    </row>
    <row r="18" ht="20.05" customHeight="1">
      <c r="A18" s="3"/>
      <c r="B18" s="3"/>
      <c r="C18" t="s" s="4">
        <v>29</v>
      </c>
      <c r="D18" s="3"/>
      <c r="E18" s="3"/>
      <c r="F18" s="3"/>
    </row>
    <row r="19" ht="20.05" customHeight="1">
      <c r="A19" s="3"/>
      <c r="B19" t="s" s="4">
        <v>30</v>
      </c>
      <c r="C19" t="s" s="4">
        <v>31</v>
      </c>
      <c r="D19" s="3"/>
      <c r="E19" s="3"/>
      <c r="F19" s="3"/>
    </row>
    <row r="20" ht="32.05" customHeight="1">
      <c r="A20" s="3"/>
      <c r="B20" s="3"/>
      <c r="C20" t="s" s="4">
        <v>32</v>
      </c>
      <c r="D20" s="3"/>
      <c r="E20" s="3"/>
      <c r="F20" s="3"/>
    </row>
    <row r="21" ht="32.05" customHeight="1">
      <c r="A21" s="3"/>
      <c r="B21" s="3"/>
      <c r="C21" t="s" s="4">
        <v>33</v>
      </c>
      <c r="D21" s="3"/>
      <c r="E21" s="3"/>
      <c r="F21" s="3"/>
    </row>
    <row r="22" ht="20.05" customHeight="1">
      <c r="A22" s="3"/>
      <c r="B22" s="3"/>
      <c r="C22" t="s" s="4">
        <v>34</v>
      </c>
      <c r="D22" s="3"/>
      <c r="E22" s="3"/>
      <c r="F22" s="3"/>
    </row>
    <row r="23" ht="32.05" customHeight="1">
      <c r="A23" s="3"/>
      <c r="B23" s="3"/>
      <c r="C23" t="s" s="4">
        <v>35</v>
      </c>
      <c r="D23" s="3"/>
      <c r="E23" s="3"/>
      <c r="F23" s="3"/>
    </row>
    <row r="24" ht="20.05" customHeight="1">
      <c r="A24" s="3"/>
      <c r="B24" s="3"/>
      <c r="C24" t="s" s="4">
        <v>36</v>
      </c>
      <c r="D24" s="3"/>
      <c r="E24" s="3"/>
      <c r="F24" s="3"/>
    </row>
    <row r="25" ht="20.05" customHeight="1">
      <c r="A25" s="3"/>
      <c r="B25" s="3"/>
      <c r="C25" t="s" s="4">
        <v>37</v>
      </c>
      <c r="D25" s="3"/>
      <c r="E25" s="3"/>
      <c r="F25" s="3"/>
    </row>
    <row r="26" ht="20.05" customHeight="1">
      <c r="A26" t="s" s="2">
        <v>38</v>
      </c>
      <c r="B26" s="3"/>
      <c r="C26" s="3"/>
      <c r="D26" s="3"/>
      <c r="E26" s="3"/>
      <c r="F26" s="3"/>
    </row>
    <row r="27" ht="20.05" customHeight="1">
      <c r="A27" t="s" s="4">
        <v>39</v>
      </c>
      <c r="B27" t="s" s="4">
        <v>40</v>
      </c>
      <c r="C27" s="3"/>
      <c r="D27" s="3"/>
      <c r="E27" s="3"/>
      <c r="F27" s="3"/>
    </row>
    <row r="28" ht="32.05" customHeight="1">
      <c r="A28" t="s" s="4">
        <v>41</v>
      </c>
      <c r="B28" t="s" s="4">
        <v>42</v>
      </c>
      <c r="C28" s="3"/>
      <c r="D28" s="3"/>
      <c r="E28" s="3"/>
      <c r="F28" s="3"/>
    </row>
    <row r="29" ht="20.05" customHeight="1">
      <c r="A29" t="s" s="2">
        <v>38</v>
      </c>
      <c r="B29" s="3"/>
      <c r="C29" s="3"/>
      <c r="D29" s="3"/>
      <c r="E29" s="3"/>
      <c r="F29" s="3"/>
    </row>
    <row r="30" ht="20.05" customHeight="1">
      <c r="A30" s="3"/>
      <c r="B30" s="3"/>
      <c r="C30" s="3"/>
      <c r="D30" s="3"/>
      <c r="E30" s="3"/>
      <c r="F30" s="3"/>
    </row>
    <row r="31" ht="20.05" customHeight="1">
      <c r="A31" t="s" s="4">
        <v>43</v>
      </c>
      <c r="B31" t="s" s="4">
        <v>44</v>
      </c>
      <c r="C31" t="s" s="4">
        <v>45</v>
      </c>
      <c r="D31" t="s" s="4">
        <v>46</v>
      </c>
      <c r="E31" s="3"/>
      <c r="F31" s="3"/>
    </row>
    <row r="32" ht="20.05" customHeight="1">
      <c r="A32" t="s" s="4">
        <v>47</v>
      </c>
      <c r="B32" s="5">
        <v>8000</v>
      </c>
      <c r="C32" s="5">
        <v>8000</v>
      </c>
      <c r="D32" s="3"/>
      <c r="E32" s="3"/>
      <c r="F32" s="3"/>
    </row>
    <row r="33" ht="20.05" customHeight="1">
      <c r="A33" t="s" s="4">
        <v>48</v>
      </c>
      <c r="B33" s="5">
        <v>1200</v>
      </c>
      <c r="C33" s="5">
        <f>8000*0.15</f>
        <v>1200</v>
      </c>
      <c r="D33" s="3"/>
      <c r="E33" s="3"/>
      <c r="F33" s="3"/>
    </row>
    <row r="34" ht="20.05" customHeight="1">
      <c r="A34" s="3"/>
      <c r="B34" s="5">
        <f>SUM(B32:B33)</f>
        <v>9200</v>
      </c>
      <c r="C34" s="5">
        <f>SUM(C32:C33)</f>
        <v>9200</v>
      </c>
      <c r="D34" s="3"/>
      <c r="E34" s="3"/>
      <c r="F34" s="3"/>
    </row>
    <row r="35" ht="20.05" customHeight="1">
      <c r="A35" t="s" s="4">
        <v>49</v>
      </c>
      <c r="B35" s="5">
        <v>920</v>
      </c>
      <c r="C35" s="5">
        <f>C34*0.1</f>
        <v>920</v>
      </c>
      <c r="D35" s="3"/>
      <c r="E35" s="3"/>
      <c r="F35" s="3"/>
    </row>
    <row r="36" ht="20.05" customHeight="1">
      <c r="A36" t="s" s="4">
        <v>50</v>
      </c>
      <c r="B36" s="3"/>
      <c r="C36" s="5">
        <v>-1000</v>
      </c>
      <c r="D36" s="5">
        <v>1000</v>
      </c>
      <c r="E36" s="3"/>
      <c r="F36" s="3"/>
    </row>
    <row r="37" ht="20.05" customHeight="1">
      <c r="A37" s="3"/>
      <c r="B37" s="5">
        <f>SUM(B34:B36)</f>
        <v>10120</v>
      </c>
      <c r="C37" s="5">
        <f>SUM(C34:C36)</f>
        <v>9120</v>
      </c>
      <c r="D37" s="5">
        <f>D36</f>
        <v>1000</v>
      </c>
      <c r="E37" s="3"/>
      <c r="F37" s="3"/>
    </row>
    <row r="38" ht="20.05" customHeight="1">
      <c r="A38" t="s" s="4">
        <v>51</v>
      </c>
      <c r="B38" s="5">
        <f>B37*4</f>
        <v>40480</v>
      </c>
      <c r="C38" s="5">
        <f>C37*4</f>
        <v>36480</v>
      </c>
      <c r="D38" s="5">
        <f>D37*4</f>
        <v>4000</v>
      </c>
      <c r="E38" s="3"/>
      <c r="F38" s="3"/>
    </row>
    <row r="39" ht="20.05" customHeight="1">
      <c r="A39" s="3"/>
      <c r="B39" s="3"/>
      <c r="C39" s="3"/>
      <c r="D39" s="3"/>
      <c r="E39" s="3"/>
      <c r="F39" s="3"/>
    </row>
    <row r="40" ht="20.05" customHeight="1">
      <c r="A40" t="s" s="4">
        <v>52</v>
      </c>
      <c r="B40" t="s" s="2">
        <v>53</v>
      </c>
      <c r="C40" s="3"/>
      <c r="D40" s="3"/>
      <c r="E40" s="3"/>
      <c r="F40" s="3"/>
    </row>
    <row r="41" ht="20.05" customHeight="1">
      <c r="A41" t="s" s="4">
        <v>54</v>
      </c>
      <c r="B41" t="s" s="4">
        <v>55</v>
      </c>
      <c r="C41" s="3"/>
      <c r="D41" s="3"/>
      <c r="E41" s="3"/>
      <c r="F41" s="3"/>
    </row>
    <row r="42" ht="20.05" customHeight="1">
      <c r="A42" t="s" s="4">
        <v>56</v>
      </c>
      <c r="B42" t="s" s="4">
        <v>57</v>
      </c>
      <c r="C42" s="3"/>
      <c r="D42" s="3"/>
      <c r="E42" s="3"/>
      <c r="F42" s="3"/>
    </row>
    <row r="43" ht="20.05" customHeight="1">
      <c r="A43" t="s" s="4">
        <v>58</v>
      </c>
      <c r="B43" t="s" s="4">
        <v>59</v>
      </c>
      <c r="C43" s="3"/>
      <c r="D43" s="3"/>
      <c r="E43" s="3"/>
      <c r="F43" s="3"/>
    </row>
    <row r="44" ht="32.05" customHeight="1">
      <c r="A44" t="s" s="4">
        <v>60</v>
      </c>
      <c r="B44" t="s" s="4">
        <v>61</v>
      </c>
      <c r="C44" t="s" s="4">
        <v>62</v>
      </c>
      <c r="D44" s="3"/>
      <c r="E44" s="3"/>
      <c r="F44" s="3"/>
    </row>
    <row r="45" ht="32.05" customHeight="1">
      <c r="A45" t="s" s="4">
        <v>63</v>
      </c>
      <c r="B45" t="s" s="4">
        <v>64</v>
      </c>
      <c r="C45" s="3"/>
      <c r="D45" s="3"/>
      <c r="E45" s="3"/>
      <c r="F45" s="3"/>
    </row>
    <row r="46" ht="20.05" customHeight="1">
      <c r="A46" s="3"/>
      <c r="B46" t="s" s="4">
        <v>65</v>
      </c>
      <c r="C46" s="3"/>
      <c r="D46" s="3"/>
      <c r="E46" s="3"/>
      <c r="F46" s="3"/>
    </row>
    <row r="47" ht="20.05" customHeight="1">
      <c r="A47" t="s" s="4">
        <v>66</v>
      </c>
      <c r="B47" t="s" s="4">
        <v>67</v>
      </c>
      <c r="C47" s="3"/>
      <c r="D47" s="3"/>
      <c r="E47" s="3"/>
      <c r="F47" s="3"/>
    </row>
    <row r="48" ht="20.05" customHeight="1">
      <c r="A48" s="3"/>
      <c r="B48" s="3"/>
      <c r="C48" s="3"/>
      <c r="D48" s="3"/>
      <c r="E48" s="3"/>
      <c r="F48" s="3"/>
    </row>
    <row r="49" ht="20.05" customHeight="1">
      <c r="A49" s="3"/>
      <c r="B49" s="3"/>
      <c r="C49" s="3"/>
      <c r="D49" s="3"/>
      <c r="E49" s="3"/>
      <c r="F49" s="3"/>
    </row>
    <row r="50" ht="20.05" customHeight="1">
      <c r="A50" t="s" s="4">
        <v>68</v>
      </c>
      <c r="B50" s="3"/>
      <c r="C50" s="3"/>
      <c r="D50" s="3"/>
      <c r="E50" s="3"/>
      <c r="F50" s="3"/>
    </row>
    <row r="51" ht="20.05" customHeight="1">
      <c r="A51" t="s" s="4">
        <v>69</v>
      </c>
      <c r="B51" s="5">
        <v>300000</v>
      </c>
      <c r="C51" s="3"/>
      <c r="D51" s="3"/>
      <c r="E51" s="3"/>
      <c r="F51" s="3"/>
    </row>
    <row r="52" ht="20.05" customHeight="1">
      <c r="A52" t="s" s="4">
        <v>70</v>
      </c>
      <c r="B52" s="5">
        <v>-50000</v>
      </c>
      <c r="C52" s="3"/>
      <c r="D52" s="3"/>
      <c r="E52" s="3"/>
      <c r="F52" s="3"/>
    </row>
    <row r="53" ht="20.05" customHeight="1">
      <c r="A53" t="s" s="4">
        <v>71</v>
      </c>
      <c r="B53" s="5">
        <f>SUM(B51:B52)</f>
        <v>250000</v>
      </c>
      <c r="C53" s="3"/>
      <c r="D53" s="3"/>
      <c r="E53" s="3"/>
      <c r="F53" s="3"/>
    </row>
    <row r="54" ht="20.05" customHeight="1">
      <c r="A54" s="3"/>
      <c r="B54" s="3"/>
      <c r="C54" s="3"/>
      <c r="D54" s="3"/>
      <c r="E54" s="3"/>
      <c r="F54" s="3"/>
    </row>
    <row r="55" ht="20.05" customHeight="1">
      <c r="A55" t="s" s="4">
        <v>72</v>
      </c>
      <c r="B55" s="3"/>
      <c r="C55" s="3"/>
      <c r="D55" s="3"/>
      <c r="E55" s="3"/>
      <c r="F55" s="3"/>
    </row>
    <row r="56" ht="20.05" customHeight="1">
      <c r="A56" t="s" s="4">
        <v>73</v>
      </c>
      <c r="B56" s="5">
        <v>36000</v>
      </c>
      <c r="C56" s="5">
        <f>B56/B58</f>
        <v>0.5625</v>
      </c>
      <c r="D56" s="3"/>
      <c r="E56" s="3"/>
      <c r="F56" s="3"/>
    </row>
    <row r="57" ht="20.05" customHeight="1">
      <c r="A57" t="s" s="4">
        <v>74</v>
      </c>
      <c r="B57" s="5">
        <v>28000</v>
      </c>
      <c r="C57" s="5">
        <f>B57/B58</f>
        <v>0.4375</v>
      </c>
      <c r="D57" s="3"/>
      <c r="E57" s="3"/>
      <c r="F57" s="3"/>
    </row>
    <row r="58" ht="20.05" customHeight="1">
      <c r="A58" t="s" s="4">
        <v>75</v>
      </c>
      <c r="B58" s="5">
        <f>SUM(B56:B57)</f>
        <v>64000</v>
      </c>
      <c r="C58" s="3"/>
      <c r="D58" s="3"/>
      <c r="E58" s="3"/>
      <c r="F58" s="3"/>
    </row>
    <row r="59" ht="20.05" customHeight="1">
      <c r="A59" s="3"/>
      <c r="B59" s="3"/>
      <c r="C59" s="3"/>
      <c r="D59" s="3"/>
      <c r="E59" s="3"/>
      <c r="F59" s="3"/>
    </row>
    <row r="60" ht="20.05" customHeight="1">
      <c r="A60" t="s" s="4">
        <v>76</v>
      </c>
      <c r="B60" s="5">
        <f>60000*C56</f>
        <v>33750</v>
      </c>
      <c r="C60" s="3"/>
      <c r="D60" s="3"/>
      <c r="E60" s="3"/>
      <c r="F60" s="3"/>
    </row>
    <row r="61" ht="20.05" customHeight="1">
      <c r="A61" t="s" s="4">
        <v>77</v>
      </c>
      <c r="B61" s="5">
        <v>-5000</v>
      </c>
      <c r="C61" s="3"/>
      <c r="D61" s="3"/>
      <c r="E61" s="3"/>
      <c r="F61" s="3"/>
    </row>
    <row r="62" ht="20.05" customHeight="1">
      <c r="A62" t="s" s="4">
        <v>78</v>
      </c>
      <c r="B62" s="5">
        <f>SUM(B60:B61)</f>
        <v>28750</v>
      </c>
      <c r="C62" s="3"/>
      <c r="D62" s="3"/>
      <c r="E62" s="3"/>
      <c r="F62" s="3"/>
    </row>
    <row r="63" ht="20.05" customHeight="1">
      <c r="A63" s="3"/>
      <c r="B63" s="3"/>
      <c r="C63" s="3"/>
      <c r="D63" s="3"/>
      <c r="E63" s="3"/>
      <c r="F63" s="3"/>
    </row>
    <row r="64" ht="20.05" customHeight="1">
      <c r="A64" t="s" s="4">
        <v>79</v>
      </c>
      <c r="B64" s="3"/>
      <c r="C64" s="3"/>
      <c r="D64" s="3"/>
      <c r="E64" s="3"/>
      <c r="F64" s="3"/>
    </row>
    <row r="65" ht="32.15" customHeight="1">
      <c r="A65" t="s" s="4">
        <v>80</v>
      </c>
      <c r="B65" s="3"/>
      <c r="C65" s="3"/>
      <c r="D65" s="3"/>
      <c r="E65" s="3"/>
      <c r="F65" s="3"/>
    </row>
    <row r="66" ht="20.05" customHeight="1">
      <c r="A66" s="3"/>
      <c r="B66" s="3"/>
      <c r="C66" s="3"/>
      <c r="D66" s="3"/>
      <c r="E66" s="3"/>
      <c r="F66" s="3"/>
    </row>
    <row r="67" ht="20.05" customHeight="1">
      <c r="A67" s="6">
        <v>44896</v>
      </c>
      <c r="B67" t="s" s="4">
        <v>81</v>
      </c>
      <c r="C67" t="s" s="4">
        <v>82</v>
      </c>
      <c r="D67" s="3"/>
      <c r="E67" s="3"/>
      <c r="F67" s="3"/>
    </row>
    <row r="68" ht="20.05" customHeight="1">
      <c r="A68" s="3"/>
      <c r="B68" t="s" s="4">
        <v>83</v>
      </c>
      <c r="C68" t="s" s="4">
        <v>82</v>
      </c>
      <c r="D68" s="3"/>
      <c r="E68" s="3"/>
      <c r="F68" s="3"/>
    </row>
    <row r="69" ht="20.05" customHeight="1">
      <c r="A69" s="3"/>
      <c r="B69" t="s" s="4">
        <v>84</v>
      </c>
      <c r="C69" t="s" s="4">
        <v>82</v>
      </c>
      <c r="D69" s="3"/>
      <c r="E69" s="3"/>
      <c r="F69" s="3"/>
    </row>
    <row r="70" ht="20.05" customHeight="1">
      <c r="A70" s="3"/>
      <c r="B70" s="3"/>
      <c r="C70" s="3"/>
      <c r="D70" s="3"/>
      <c r="E70" s="3"/>
      <c r="F70" s="3"/>
    </row>
    <row r="71" ht="20.05" customHeight="1">
      <c r="A71" s="3"/>
      <c r="B71" t="s" s="4">
        <v>85</v>
      </c>
      <c r="C71" t="s" s="4">
        <v>82</v>
      </c>
      <c r="D71" s="3"/>
      <c r="E71" s="3"/>
      <c r="F71" s="3"/>
    </row>
    <row r="72" ht="20.05" customHeight="1">
      <c r="A72" s="3"/>
      <c r="B72" t="s" s="4">
        <v>86</v>
      </c>
      <c r="C72" t="s" s="4">
        <v>82</v>
      </c>
      <c r="D72" s="3"/>
      <c r="E72" s="3"/>
      <c r="F72" s="3"/>
    </row>
    <row r="73" ht="20.05" customHeight="1">
      <c r="A73" s="3"/>
      <c r="B73" s="3"/>
      <c r="C73" s="3"/>
      <c r="D73" s="3"/>
      <c r="E73" s="3"/>
      <c r="F73" s="3"/>
    </row>
    <row r="74" ht="20.05" customHeight="1">
      <c r="A74" s="3"/>
      <c r="B74" t="s" s="4">
        <v>87</v>
      </c>
      <c r="C74" s="3"/>
      <c r="D74" s="3"/>
      <c r="E74" s="3"/>
      <c r="F74" s="3"/>
    </row>
    <row r="75" ht="20.05" customHeight="1">
      <c r="A75" s="3"/>
      <c r="B75" t="s" s="4">
        <v>88</v>
      </c>
      <c r="C75" t="s" s="4">
        <v>82</v>
      </c>
      <c r="D75" s="3"/>
      <c r="E75" s="3"/>
      <c r="F75" s="3"/>
    </row>
    <row r="76" ht="20.05" customHeight="1">
      <c r="A76" s="3"/>
      <c r="B76" t="s" s="4">
        <v>89</v>
      </c>
      <c r="C76" t="s" s="4">
        <v>82</v>
      </c>
      <c r="D76" s="3"/>
      <c r="E76" s="3"/>
      <c r="F76" s="3"/>
    </row>
    <row r="77" ht="20.05" customHeight="1">
      <c r="A77" s="3"/>
      <c r="B77" s="3"/>
      <c r="C77" s="3"/>
      <c r="D77" s="3"/>
      <c r="E77" s="3"/>
      <c r="F77" s="3"/>
    </row>
    <row r="78" ht="20.05" customHeight="1">
      <c r="A78" t="s" s="4">
        <v>90</v>
      </c>
      <c r="B78" t="s" s="4">
        <v>91</v>
      </c>
      <c r="C78" t="s" s="4">
        <v>92</v>
      </c>
      <c r="D78" s="3"/>
      <c r="E78" s="3"/>
      <c r="F78" s="3"/>
    </row>
    <row r="79" ht="20.05" customHeight="1">
      <c r="A79" s="3"/>
      <c r="B79" s="3"/>
      <c r="C79" s="3"/>
      <c r="D79" s="3"/>
      <c r="E79" s="3"/>
      <c r="F79" s="3"/>
    </row>
    <row r="80" ht="20.05" customHeight="1">
      <c r="A80" t="s" s="4">
        <v>93</v>
      </c>
      <c r="B80" t="s" s="4">
        <v>94</v>
      </c>
      <c r="C80" s="3"/>
      <c r="D80" s="3"/>
      <c r="E80" s="3"/>
      <c r="F80" s="3"/>
    </row>
    <row r="81" ht="20.05" customHeight="1">
      <c r="A81" t="s" s="4">
        <v>95</v>
      </c>
      <c r="B81" t="s" s="4">
        <v>96</v>
      </c>
      <c r="C81" t="s" s="4">
        <v>82</v>
      </c>
      <c r="D81" s="3"/>
      <c r="E81" s="3"/>
      <c r="F81" s="3"/>
    </row>
    <row r="82" ht="20.05" customHeight="1">
      <c r="A82" s="3"/>
      <c r="B82" t="s" s="4">
        <v>97</v>
      </c>
      <c r="C82" t="s" s="4">
        <v>82</v>
      </c>
      <c r="D82" s="3"/>
      <c r="E82" s="3"/>
      <c r="F82" s="3"/>
    </row>
    <row r="83" ht="20.05" customHeight="1">
      <c r="A83" s="3"/>
      <c r="B83" s="3"/>
      <c r="C83" s="3"/>
      <c r="D83" s="3"/>
      <c r="E83" s="3"/>
      <c r="F83" s="3"/>
    </row>
    <row r="84" ht="20.05" customHeight="1">
      <c r="A84" t="s" s="4">
        <v>98</v>
      </c>
      <c r="B84" t="s" s="4">
        <v>99</v>
      </c>
      <c r="C84" s="3"/>
      <c r="D84" s="3"/>
      <c r="E84" s="3"/>
      <c r="F84" s="3"/>
    </row>
    <row r="85" ht="20.05" customHeight="1">
      <c r="A85" s="3"/>
      <c r="B85" t="s" s="4">
        <v>100</v>
      </c>
      <c r="C85" t="s" s="4">
        <v>101</v>
      </c>
      <c r="D85" s="3"/>
      <c r="E85" s="3"/>
      <c r="F85" s="3"/>
    </row>
    <row r="86" ht="20.05" customHeight="1">
      <c r="A86" s="3"/>
      <c r="B86" t="s" s="4">
        <v>102</v>
      </c>
      <c r="C86" t="s" s="4">
        <v>103</v>
      </c>
      <c r="D86" s="3"/>
      <c r="E86" s="3"/>
      <c r="F86" s="3"/>
    </row>
    <row r="87" ht="20.05" customHeight="1">
      <c r="A87" s="3"/>
      <c r="B87" t="s" s="4">
        <v>104</v>
      </c>
      <c r="C87" t="s" s="4">
        <v>105</v>
      </c>
      <c r="D87" s="3"/>
      <c r="E87" s="3"/>
      <c r="F87" s="3"/>
    </row>
    <row r="88" ht="20.05" customHeight="1">
      <c r="A88" s="3"/>
      <c r="B88" s="3"/>
      <c r="C88" t="s" s="4">
        <v>106</v>
      </c>
      <c r="D88" s="3"/>
      <c r="E88" s="3"/>
      <c r="F88" s="3"/>
    </row>
    <row r="89" ht="20.05" customHeight="1">
      <c r="A89" s="3"/>
      <c r="B89" s="3"/>
      <c r="C89" t="s" s="4">
        <v>107</v>
      </c>
      <c r="D89" s="3"/>
      <c r="E89" s="3"/>
      <c r="F89" s="3"/>
    </row>
    <row r="90" ht="20.05" customHeight="1">
      <c r="A90" s="3"/>
      <c r="B90" s="3"/>
      <c r="C90" s="3"/>
      <c r="D90" s="3"/>
      <c r="E90" s="3"/>
      <c r="F90" s="3"/>
    </row>
    <row r="91" ht="20.05" customHeight="1">
      <c r="A91" t="s" s="4">
        <v>108</v>
      </c>
      <c r="B91" t="s" s="4">
        <v>109</v>
      </c>
      <c r="C91" s="3"/>
      <c r="D91" s="3"/>
      <c r="E91" s="3"/>
      <c r="F91" s="3"/>
    </row>
    <row r="92" ht="20.05" customHeight="1">
      <c r="A92" s="3"/>
      <c r="B92" t="s" s="4">
        <v>110</v>
      </c>
      <c r="C92" t="s" s="4">
        <v>101</v>
      </c>
      <c r="D92" s="3"/>
      <c r="E92" s="3"/>
      <c r="F92" s="3"/>
    </row>
    <row r="93" ht="20.05" customHeight="1">
      <c r="A93" s="3"/>
      <c r="B93" t="s" s="4">
        <v>111</v>
      </c>
      <c r="C93" t="s" s="4">
        <v>103</v>
      </c>
      <c r="D93" s="3"/>
      <c r="E93" s="3"/>
      <c r="F93" s="3"/>
    </row>
    <row r="94" ht="20.05" customHeight="1">
      <c r="A94" s="3"/>
      <c r="B94" t="s" s="4">
        <v>112</v>
      </c>
      <c r="C94" t="s" s="4">
        <v>105</v>
      </c>
      <c r="D94" s="3"/>
      <c r="E94" s="3"/>
      <c r="F94" s="3"/>
    </row>
    <row r="95" ht="20.05" customHeight="1">
      <c r="A95" s="3"/>
      <c r="B95" s="3"/>
      <c r="C95" t="s" s="4">
        <v>113</v>
      </c>
      <c r="D95" s="3"/>
      <c r="E95" s="3"/>
      <c r="F95" s="3"/>
    </row>
    <row r="96" ht="20.05" customHeight="1">
      <c r="A96" s="3"/>
      <c r="B96" s="3"/>
      <c r="C96" t="s" s="4">
        <v>114</v>
      </c>
      <c r="D96" s="3"/>
      <c r="E96" s="3"/>
      <c r="F96" s="3"/>
    </row>
    <row r="97" ht="20.05" customHeight="1">
      <c r="A97" s="3"/>
      <c r="B97" s="3"/>
      <c r="C97" t="s" s="4">
        <v>115</v>
      </c>
      <c r="D97" s="3"/>
      <c r="E97" s="3"/>
      <c r="F97" s="3"/>
    </row>
    <row r="98" ht="20.05" customHeight="1">
      <c r="A98" s="3"/>
      <c r="B98" s="3"/>
      <c r="C98" s="3"/>
      <c r="D98" s="3"/>
      <c r="E98" s="3"/>
      <c r="F98" s="3"/>
    </row>
    <row r="99" ht="20.05" customHeight="1">
      <c r="A99" t="s" s="4">
        <v>116</v>
      </c>
      <c r="B99" s="5">
        <v>0</v>
      </c>
      <c r="C99" s="3"/>
      <c r="D99" s="3"/>
      <c r="E99" s="3"/>
      <c r="F99" s="3"/>
    </row>
    <row r="100" ht="20.05" customHeight="1">
      <c r="A100" s="3"/>
      <c r="B100" s="3"/>
      <c r="C100" s="3"/>
      <c r="D100" s="3"/>
      <c r="E100" s="3"/>
      <c r="F100" s="3"/>
    </row>
    <row r="101" ht="20.05" customHeight="1">
      <c r="A101" t="s" s="4">
        <v>117</v>
      </c>
      <c r="B101" s="3"/>
      <c r="C101" s="3"/>
      <c r="D101" s="3"/>
      <c r="E101" s="3"/>
      <c r="F101" s="3"/>
    </row>
    <row r="102" ht="20.05" customHeight="1">
      <c r="A102" t="s" s="4">
        <v>53</v>
      </c>
      <c r="B102" s="5">
        <v>110000</v>
      </c>
      <c r="C102" s="3"/>
      <c r="D102" s="3"/>
      <c r="E102" s="3"/>
      <c r="F102" s="3"/>
    </row>
    <row r="103" ht="20.05" customHeight="1">
      <c r="A103" t="s" s="4">
        <v>118</v>
      </c>
      <c r="B103" s="5">
        <v>-40000</v>
      </c>
      <c r="C103" s="3"/>
      <c r="D103" s="3"/>
      <c r="E103" s="3"/>
      <c r="F103" s="3"/>
    </row>
    <row r="104" ht="20.05" customHeight="1">
      <c r="A104" t="s" s="4">
        <v>119</v>
      </c>
      <c r="B104" s="5">
        <f>SUM(B102:B103)</f>
        <v>70000</v>
      </c>
      <c r="C104" s="3"/>
      <c r="D104" s="3"/>
      <c r="E104" s="3"/>
      <c r="F104" s="3"/>
    </row>
    <row r="105" ht="20.05" customHeight="1">
      <c r="A105" t="s" s="4">
        <v>120</v>
      </c>
      <c r="B105" s="5">
        <v>-5000</v>
      </c>
      <c r="C105" s="3"/>
      <c r="D105" s="3"/>
      <c r="E105" s="3"/>
      <c r="F105" s="3"/>
    </row>
    <row r="106" ht="20.05" customHeight="1">
      <c r="A106" t="s" s="4">
        <v>71</v>
      </c>
      <c r="B106" s="5">
        <f>SUM(B104:B105)</f>
        <v>65000</v>
      </c>
      <c r="C106" s="3"/>
      <c r="D106" s="3"/>
      <c r="E106" s="3"/>
      <c r="F106" s="3"/>
    </row>
    <row r="107" ht="20.05" customHeight="1">
      <c r="A107" s="3"/>
      <c r="B107" s="3"/>
      <c r="C107" s="3"/>
      <c r="D107" s="3"/>
      <c r="E107" s="3"/>
      <c r="F107" s="3"/>
    </row>
    <row r="108" ht="20.05" customHeight="1">
      <c r="A108" t="s" s="4">
        <v>121</v>
      </c>
      <c r="B108" s="3"/>
      <c r="C108" s="3"/>
      <c r="D108" s="3"/>
      <c r="E108" s="3"/>
      <c r="F108" s="3"/>
    </row>
    <row r="109" ht="20.05" customHeight="1">
      <c r="A109" t="s" s="4">
        <v>53</v>
      </c>
      <c r="B109" s="5">
        <f>110*5000</f>
        <v>550000</v>
      </c>
      <c r="C109" s="3"/>
      <c r="D109" s="3"/>
      <c r="E109" s="3"/>
      <c r="F109" s="3"/>
    </row>
    <row r="110" ht="20.05" customHeight="1">
      <c r="A110" t="s" s="4">
        <v>122</v>
      </c>
      <c r="B110" s="5">
        <v>-375000</v>
      </c>
      <c r="C110" s="3"/>
      <c r="D110" s="3"/>
      <c r="E110" s="3"/>
      <c r="F110" s="3"/>
    </row>
    <row r="111" ht="20.05" customHeight="1">
      <c r="A111" t="s" s="4">
        <v>71</v>
      </c>
      <c r="B111" s="5">
        <f>SUM(B109:B110)</f>
        <v>175000</v>
      </c>
      <c r="C111" s="3"/>
      <c r="D111" s="3"/>
      <c r="E111" s="3"/>
      <c r="F111" s="3"/>
    </row>
    <row r="112" ht="20.05" customHeight="1">
      <c r="A112" s="3"/>
      <c r="B112" s="3"/>
      <c r="C112" s="3"/>
      <c r="D112" s="3"/>
      <c r="E112" s="3"/>
      <c r="F112" s="3"/>
    </row>
    <row r="113" ht="20.05" customHeight="1">
      <c r="A113" t="s" s="4">
        <v>123</v>
      </c>
      <c r="B113" s="5">
        <v>500000</v>
      </c>
      <c r="C113" s="3"/>
      <c r="D113" s="3"/>
      <c r="E113" s="3"/>
      <c r="F113" s="3"/>
    </row>
    <row r="114" ht="20.05" customHeight="1">
      <c r="A114" t="s" s="4">
        <v>124</v>
      </c>
      <c r="B114" s="5">
        <v>50000</v>
      </c>
      <c r="C114" s="3"/>
      <c r="D114" s="3"/>
      <c r="E114" s="3"/>
      <c r="F114" s="3"/>
    </row>
    <row r="115" ht="20.05" customHeight="1">
      <c r="A115" t="s" s="4">
        <v>89</v>
      </c>
      <c r="B115" s="5">
        <v>375000</v>
      </c>
      <c r="C115" s="3"/>
      <c r="D115" s="3"/>
      <c r="E115" s="3"/>
      <c r="F115" s="3"/>
    </row>
    <row r="116" ht="20.05" customHeight="1">
      <c r="A116" t="s" s="4">
        <v>125</v>
      </c>
      <c r="B116" s="5">
        <v>175000</v>
      </c>
      <c r="C116" s="3"/>
      <c r="D116" s="3"/>
      <c r="E116" s="3"/>
      <c r="F116" s="3"/>
    </row>
    <row r="117" ht="20.05" customHeight="1">
      <c r="A117" s="3"/>
      <c r="B117" s="3"/>
      <c r="C117" s="3"/>
      <c r="D117" s="3"/>
      <c r="E117" s="3"/>
      <c r="F117" s="3"/>
    </row>
    <row r="118" ht="20.05" customHeight="1">
      <c r="A118" t="s" s="4">
        <v>126</v>
      </c>
      <c r="B118" s="3"/>
      <c r="C118" s="3"/>
      <c r="D118" s="3"/>
      <c r="E118" s="3"/>
      <c r="F118" s="3"/>
    </row>
    <row r="119" ht="20.05" customHeight="1">
      <c r="A119" t="s" s="4">
        <v>127</v>
      </c>
      <c r="B119" s="5">
        <v>1600000</v>
      </c>
      <c r="C119" s="3"/>
      <c r="D119" s="3"/>
      <c r="E119" s="3"/>
      <c r="F119" s="3"/>
    </row>
    <row r="120" ht="20.05" customHeight="1">
      <c r="A120" t="s" s="4">
        <v>128</v>
      </c>
      <c r="B120" s="5">
        <v>120000</v>
      </c>
      <c r="C120" s="3"/>
      <c r="D120" s="3"/>
      <c r="E120" s="3"/>
      <c r="F120" s="3"/>
    </row>
    <row r="121" ht="20.05" customHeight="1">
      <c r="A121" t="s" s="4">
        <v>129</v>
      </c>
      <c r="B121" s="5">
        <f>SUM(B119:B120)</f>
        <v>1720000</v>
      </c>
      <c r="C121" s="3"/>
      <c r="D121" s="3"/>
      <c r="E121" s="3"/>
      <c r="F121" s="3"/>
    </row>
    <row r="122" ht="20.05" customHeight="1">
      <c r="A122" s="3"/>
      <c r="B122" s="3"/>
      <c r="C122" s="3"/>
      <c r="D122" s="3"/>
      <c r="E122" s="3"/>
      <c r="F122" s="3"/>
    </row>
    <row r="123" ht="20.05" customHeight="1">
      <c r="A123" t="s" s="4">
        <v>130</v>
      </c>
      <c r="B123" s="5">
        <v>40000</v>
      </c>
      <c r="C123" t="s" s="4">
        <v>85</v>
      </c>
      <c r="D123" s="5">
        <v>120000</v>
      </c>
      <c r="E123" s="3"/>
      <c r="F123" s="3"/>
    </row>
    <row r="124" ht="20.05" customHeight="1">
      <c r="A124" s="3"/>
      <c r="B124" s="5">
        <v>10</v>
      </c>
      <c r="C124" t="s" s="4">
        <v>89</v>
      </c>
      <c r="D124" s="5">
        <v>100000</v>
      </c>
      <c r="E124" s="3"/>
      <c r="F124" s="3"/>
    </row>
    <row r="125" ht="20.05" customHeight="1">
      <c r="A125" t="s" s="4">
        <v>131</v>
      </c>
      <c r="B125" s="5">
        <f>B123/B124</f>
        <v>4000</v>
      </c>
      <c r="C125" t="s" s="4">
        <v>132</v>
      </c>
      <c r="D125" s="5">
        <v>20000</v>
      </c>
      <c r="E125" s="3"/>
      <c r="F125" s="3"/>
    </row>
    <row r="126" ht="20.05" customHeight="1">
      <c r="A126" t="s" s="4">
        <v>133</v>
      </c>
      <c r="B126" s="5">
        <v>30</v>
      </c>
      <c r="C126" s="3"/>
      <c r="D126" s="3"/>
      <c r="E126" s="3"/>
      <c r="F126" s="3"/>
    </row>
    <row r="127" ht="20.05" customHeight="1">
      <c r="A127" t="s" s="4">
        <v>53</v>
      </c>
      <c r="B127" s="5">
        <f>B125*B126</f>
        <v>120000</v>
      </c>
      <c r="C127" s="3"/>
      <c r="D127" s="3"/>
      <c r="E127" s="3"/>
      <c r="F127" s="3"/>
    </row>
    <row r="128" ht="20.05" customHeight="1">
      <c r="A128" t="s" s="4">
        <v>134</v>
      </c>
      <c r="B128" s="5">
        <v>-100000</v>
      </c>
      <c r="C128" s="3"/>
      <c r="D128" s="3"/>
      <c r="E128" s="3"/>
      <c r="F128" s="3"/>
    </row>
    <row r="129" ht="20.05" customHeight="1">
      <c r="A129" t="s" s="4">
        <v>71</v>
      </c>
      <c r="B129" s="5">
        <f>SUM(B127:B128)</f>
        <v>20000</v>
      </c>
      <c r="C129" s="3"/>
      <c r="D129" s="3"/>
      <c r="E129" s="3"/>
      <c r="F129" s="3"/>
    </row>
    <row r="130" ht="20.05" customHeight="1">
      <c r="A130" s="3"/>
      <c r="B130" s="3"/>
      <c r="C130" s="3"/>
      <c r="D130" s="3"/>
      <c r="E130" s="3"/>
      <c r="F130" s="3"/>
    </row>
    <row r="131" ht="20.05" customHeight="1">
      <c r="A131" t="s" s="4">
        <v>135</v>
      </c>
      <c r="B131" s="3"/>
      <c r="C131" s="3"/>
      <c r="D131" s="3"/>
      <c r="E131" s="3"/>
      <c r="F131" s="3"/>
    </row>
    <row r="132" ht="20.05" customHeight="1">
      <c r="A132" s="6">
        <v>44566</v>
      </c>
      <c r="B132" s="5">
        <f>675000*4</f>
        <v>2700000</v>
      </c>
      <c r="C132" t="s" s="4">
        <v>136</v>
      </c>
      <c r="D132" s="5">
        <f>11*90000</f>
        <v>990000</v>
      </c>
      <c r="E132" s="3"/>
      <c r="F132" s="3"/>
    </row>
    <row r="133" ht="20.05" customHeight="1">
      <c r="A133" s="6">
        <v>44926</v>
      </c>
      <c r="B133" s="5">
        <v>630000</v>
      </c>
      <c r="C133" s="3"/>
      <c r="D133" s="3"/>
      <c r="E133" s="3"/>
      <c r="F133" s="3"/>
    </row>
    <row r="134" ht="20.05" customHeight="1">
      <c r="A134" t="s" s="4">
        <v>137</v>
      </c>
      <c r="B134" s="5">
        <f>SUM(B132:B133)</f>
        <v>3330000</v>
      </c>
      <c r="C134" t="s" s="4">
        <v>138</v>
      </c>
      <c r="D134" s="5">
        <f>18*90000</f>
        <v>1620000</v>
      </c>
      <c r="E134" s="3"/>
      <c r="F134" s="3"/>
    </row>
    <row r="135" ht="20.05" customHeight="1">
      <c r="A135" s="3"/>
      <c r="B135" s="3"/>
      <c r="C135" t="s" s="4">
        <v>139</v>
      </c>
      <c r="D135" s="5">
        <v>-990000</v>
      </c>
      <c r="E135" s="3"/>
      <c r="F135" s="3"/>
    </row>
    <row r="136" ht="20.05" customHeight="1">
      <c r="A136" s="3"/>
      <c r="B136" s="3"/>
      <c r="C136" t="s" s="4">
        <v>140</v>
      </c>
      <c r="D136" s="5">
        <f>SUM(D134:D135)</f>
        <v>630000</v>
      </c>
      <c r="E136" s="3"/>
      <c r="F136" s="3"/>
    </row>
    <row r="137" ht="20.05" customHeight="1">
      <c r="A137" s="3"/>
      <c r="B137" s="3"/>
      <c r="C137" s="3"/>
      <c r="D137" s="3"/>
      <c r="E137" s="3"/>
      <c r="F137" s="3"/>
    </row>
    <row r="138" ht="20.05" customHeight="1">
      <c r="A138" t="s" s="4">
        <v>141</v>
      </c>
      <c r="B138" s="3"/>
      <c r="C138" s="3"/>
      <c r="D138" s="3"/>
      <c r="E138" s="3"/>
      <c r="F138" s="3"/>
    </row>
    <row r="139" ht="20.05" customHeight="1">
      <c r="A139" t="s" s="4">
        <v>138</v>
      </c>
      <c r="B139" s="5">
        <f t="shared" si="29" ref="B139:B314">55*20000</f>
        <v>1100000</v>
      </c>
      <c r="C139" s="3"/>
      <c r="D139" s="3"/>
      <c r="E139" s="3"/>
      <c r="F139" s="3"/>
    </row>
    <row r="140" ht="20.05" customHeight="1">
      <c r="A140" t="s" s="4">
        <v>139</v>
      </c>
      <c r="B140" s="5">
        <v>-800000</v>
      </c>
      <c r="C140" s="3"/>
      <c r="D140" s="3"/>
      <c r="E140" s="3"/>
      <c r="F140" s="3"/>
    </row>
    <row r="141" ht="20.05" customHeight="1">
      <c r="A141" t="s" s="4">
        <v>140</v>
      </c>
      <c r="B141" s="5">
        <f>SUM(B139:B140)</f>
        <v>300000</v>
      </c>
      <c r="C141" s="3"/>
      <c r="D141" s="3"/>
      <c r="E141" s="3"/>
      <c r="F141" s="3"/>
    </row>
    <row r="142" ht="20.05" customHeight="1">
      <c r="A142" s="3"/>
      <c r="B142" s="3"/>
      <c r="C142" s="3"/>
      <c r="D142" s="3"/>
      <c r="E142" s="3"/>
      <c r="F142" s="3"/>
    </row>
    <row r="143" ht="20.05" customHeight="1">
      <c r="A143" t="s" s="4">
        <v>142</v>
      </c>
      <c r="B143" s="5">
        <v>800000</v>
      </c>
      <c r="C143" s="3"/>
      <c r="D143" s="3"/>
      <c r="E143" s="3"/>
      <c r="F143" s="3"/>
    </row>
    <row r="144" ht="20.05" customHeight="1">
      <c r="A144" t="s" s="4">
        <v>140</v>
      </c>
      <c r="B144" s="5">
        <v>300000</v>
      </c>
      <c r="C144" s="3"/>
      <c r="D144" s="3"/>
      <c r="E144" s="3"/>
      <c r="F144" s="3"/>
    </row>
    <row r="145" ht="20.05" customHeight="1">
      <c r="A145" t="s" s="4">
        <v>143</v>
      </c>
      <c r="B145" s="5">
        <f>SUM(B143:B144)</f>
        <v>1100000</v>
      </c>
      <c r="C145" s="3"/>
      <c r="D145" s="3"/>
      <c r="E145" s="3"/>
      <c r="F145" s="3"/>
    </row>
    <row r="146" ht="20.05" customHeight="1">
      <c r="A146" s="3"/>
      <c r="B146" s="3"/>
      <c r="C146" s="3"/>
      <c r="D146" s="3"/>
      <c r="E146" s="3"/>
      <c r="F146" s="3"/>
    </row>
    <row r="147" ht="20.05" customHeight="1">
      <c r="A147" t="s" s="4">
        <v>144</v>
      </c>
      <c r="B147" s="3"/>
      <c r="C147" s="3"/>
      <c r="D147" s="3"/>
      <c r="E147" s="3"/>
      <c r="F147" s="3"/>
    </row>
    <row r="148" ht="20.05" customHeight="1">
      <c r="A148" t="s" s="4">
        <v>145</v>
      </c>
      <c r="B148" s="5">
        <f>150*2000</f>
        <v>300000</v>
      </c>
      <c r="C148" s="3"/>
      <c r="D148" s="3"/>
      <c r="E148" s="3"/>
      <c r="F148" s="3"/>
    </row>
    <row r="149" ht="20.05" customHeight="1">
      <c r="A149" s="3"/>
      <c r="B149" s="3"/>
      <c r="C149" s="3"/>
      <c r="D149" s="3"/>
      <c r="E149" s="3"/>
      <c r="F149" s="3"/>
    </row>
    <row r="150" ht="20.05" customHeight="1">
      <c r="A150" t="s" s="4">
        <v>146</v>
      </c>
      <c r="B150" s="5">
        <f>2000*10</f>
        <v>20000</v>
      </c>
      <c r="C150" s="3"/>
      <c r="D150" s="3"/>
      <c r="E150" s="3"/>
      <c r="F150" s="3"/>
    </row>
    <row r="151" ht="20.05" customHeight="1">
      <c r="A151" t="s" s="4">
        <v>139</v>
      </c>
      <c r="B151" s="5">
        <v>-300000</v>
      </c>
      <c r="C151" s="3"/>
      <c r="D151" s="3"/>
      <c r="E151" s="3"/>
      <c r="F151" s="3"/>
    </row>
    <row r="152" ht="20.05" customHeight="1">
      <c r="A152" t="s" s="4">
        <v>105</v>
      </c>
      <c r="B152" s="5">
        <f>SUM(B150:B151)</f>
        <v>-280000</v>
      </c>
      <c r="C152" s="3"/>
      <c r="D152" s="3"/>
      <c r="E152" s="3"/>
      <c r="F152" s="3"/>
    </row>
    <row r="153" ht="20.05" customHeight="1">
      <c r="A153" t="s" s="4">
        <v>147</v>
      </c>
      <c r="B153" s="5">
        <f>90*2000</f>
        <v>180000</v>
      </c>
      <c r="C153" s="3"/>
      <c r="D153" s="3"/>
      <c r="E153" s="3"/>
      <c r="F153" s="3"/>
    </row>
    <row r="154" ht="20.05" customHeight="1">
      <c r="A154" t="s" s="4">
        <v>140</v>
      </c>
      <c r="B154" s="5">
        <v>0</v>
      </c>
      <c r="C154" s="3"/>
      <c r="D154" s="3"/>
      <c r="E154" s="3"/>
      <c r="F154" s="3"/>
    </row>
    <row r="155" ht="20.05" customHeight="1">
      <c r="A155" t="s" s="4">
        <v>148</v>
      </c>
      <c r="B155" s="5">
        <f>SUM(B152:B154)</f>
        <v>-100000</v>
      </c>
      <c r="C155" s="3"/>
      <c r="D155" s="3"/>
      <c r="E155" s="3"/>
      <c r="F155" s="3"/>
    </row>
    <row r="156" ht="20.05" customHeight="1">
      <c r="A156" s="3"/>
      <c r="B156" s="3"/>
      <c r="C156" s="3"/>
      <c r="D156" s="3"/>
      <c r="E156" s="3"/>
      <c r="F156" s="3"/>
    </row>
    <row r="157" ht="20.05" customHeight="1">
      <c r="A157" t="s" s="4">
        <v>149</v>
      </c>
      <c r="B157" s="5">
        <v>300000</v>
      </c>
      <c r="C157" s="3"/>
      <c r="D157" s="3"/>
      <c r="E157" s="3"/>
      <c r="F157" s="3"/>
    </row>
    <row r="158" ht="20.05" customHeight="1">
      <c r="A158" t="s" s="4">
        <v>97</v>
      </c>
      <c r="B158" s="5">
        <v>300000</v>
      </c>
      <c r="C158" s="3"/>
      <c r="D158" s="3"/>
      <c r="E158" s="3"/>
      <c r="F158" s="3"/>
    </row>
    <row r="159" ht="20.05" customHeight="1">
      <c r="A159" s="3"/>
      <c r="B159" s="3"/>
      <c r="C159" s="3"/>
      <c r="D159" s="3"/>
      <c r="E159" s="3"/>
      <c r="F159" s="3"/>
    </row>
    <row r="160" ht="20.05" customHeight="1">
      <c r="A160" t="s" s="4">
        <v>150</v>
      </c>
      <c r="B160" s="5">
        <v>20000</v>
      </c>
      <c r="C160" s="3"/>
      <c r="D160" s="3"/>
      <c r="E160" s="3"/>
      <c r="F160" s="3"/>
    </row>
    <row r="161" ht="20.05" customHeight="1">
      <c r="A161" t="s" s="4">
        <v>151</v>
      </c>
      <c r="B161" s="5">
        <v>180000</v>
      </c>
      <c r="C161" s="3"/>
      <c r="D161" s="3"/>
      <c r="E161" s="3"/>
      <c r="F161" s="3"/>
    </row>
    <row r="162" ht="20.05" customHeight="1">
      <c r="A162" t="s" s="4">
        <v>152</v>
      </c>
      <c r="B162" s="5">
        <v>100000</v>
      </c>
      <c r="C162" s="3"/>
      <c r="D162" s="3"/>
      <c r="E162" s="3"/>
      <c r="F162" s="3"/>
    </row>
    <row r="163" ht="20.05" customHeight="1">
      <c r="A163" t="s" s="4">
        <v>153</v>
      </c>
      <c r="B163" s="5">
        <v>300000</v>
      </c>
      <c r="C163" s="3"/>
      <c r="D163" s="3"/>
      <c r="E163" s="3"/>
      <c r="F163" s="3"/>
    </row>
    <row r="164" ht="20.05" customHeight="1">
      <c r="A164" s="3"/>
      <c r="B164" s="3"/>
      <c r="C164" s="3"/>
      <c r="D164" s="3"/>
      <c r="E164" s="3"/>
      <c r="F164" s="3"/>
    </row>
    <row r="165" ht="20.05" customHeight="1">
      <c r="A165" t="s" s="4">
        <v>154</v>
      </c>
      <c r="B165" s="3"/>
      <c r="C165" s="3"/>
      <c r="D165" s="3"/>
      <c r="E165" s="3"/>
      <c r="F165" s="3"/>
    </row>
    <row r="166" ht="20.05" customHeight="1">
      <c r="A166" t="s" s="4">
        <v>155</v>
      </c>
      <c r="B166" s="5">
        <f>5000000-2000000+1000000-400000</f>
        <v>3600000</v>
      </c>
      <c r="C166" s="3"/>
      <c r="D166" s="3"/>
      <c r="E166" s="3"/>
      <c r="F166" s="3"/>
    </row>
    <row r="167" ht="20.05" customHeight="1">
      <c r="A167" t="s" s="4">
        <v>71</v>
      </c>
      <c r="B167" s="5">
        <v>500000</v>
      </c>
      <c r="C167" s="3"/>
      <c r="D167" s="3"/>
      <c r="E167" s="3"/>
      <c r="F167" s="3"/>
    </row>
    <row r="168" ht="20.05" customHeight="1">
      <c r="A168" t="s" s="4">
        <v>156</v>
      </c>
      <c r="B168" s="5">
        <v>200000</v>
      </c>
      <c r="C168" s="3"/>
      <c r="D168" s="3"/>
      <c r="E168" s="3"/>
      <c r="F168" s="3"/>
    </row>
    <row r="169" ht="20.05" customHeight="1">
      <c r="A169" t="s" s="4">
        <v>157</v>
      </c>
      <c r="B169" s="5">
        <f>600000+300000</f>
        <v>900000</v>
      </c>
      <c r="C169" s="3"/>
      <c r="D169" s="3"/>
      <c r="E169" s="3"/>
      <c r="F169" s="3"/>
    </row>
    <row r="170" ht="20.05" customHeight="1">
      <c r="A170" t="s" s="4">
        <v>158</v>
      </c>
      <c r="B170" s="5">
        <v>-100000</v>
      </c>
      <c r="C170" s="3"/>
      <c r="D170" s="3"/>
      <c r="E170" s="3"/>
      <c r="F170" s="3"/>
    </row>
    <row r="171" ht="20.05" customHeight="1">
      <c r="A171" t="s" s="4">
        <v>38</v>
      </c>
      <c r="B171" s="5">
        <f>SUM(B166:B170)</f>
        <v>5100000</v>
      </c>
      <c r="C171" s="3"/>
      <c r="D171" s="3"/>
      <c r="E171" s="3"/>
      <c r="F171" s="3"/>
    </row>
    <row r="172" ht="20.05" customHeight="1">
      <c r="A172" s="3"/>
      <c r="B172" s="3"/>
      <c r="C172" s="3"/>
      <c r="D172" s="3"/>
      <c r="E172" s="3"/>
      <c r="F172" s="3"/>
    </row>
    <row r="173" ht="20.05" customHeight="1">
      <c r="A173" t="s" s="4">
        <v>159</v>
      </c>
      <c r="B173" s="5">
        <f>5000000-2000000+1000000</f>
        <v>4000000</v>
      </c>
      <c r="C173" s="3"/>
      <c r="D173" s="3"/>
      <c r="E173" s="3"/>
      <c r="F173" s="3"/>
    </row>
    <row r="174" ht="20.05" customHeight="1">
      <c r="A174" t="s" s="4">
        <v>160</v>
      </c>
      <c r="B174" s="5">
        <f>3600000+500000</f>
        <v>4100000</v>
      </c>
      <c r="C174" s="3"/>
      <c r="D174" s="3"/>
      <c r="E174" s="3"/>
      <c r="F174" s="3"/>
    </row>
    <row r="175" ht="20.05" customHeight="1">
      <c r="A175" s="3"/>
      <c r="B175" s="3"/>
      <c r="C175" s="3"/>
      <c r="D175" s="3"/>
      <c r="E175" s="3"/>
      <c r="F175" s="3"/>
    </row>
    <row r="176" ht="20.05" customHeight="1">
      <c r="A176" t="s" s="2">
        <v>161</v>
      </c>
      <c r="B176" t="s" s="4">
        <v>162</v>
      </c>
      <c r="C176" s="3"/>
      <c r="D176" s="3"/>
      <c r="E176" s="3"/>
      <c r="F176" s="3"/>
    </row>
    <row r="177" ht="20.05" customHeight="1">
      <c r="A177" t="s" s="4">
        <v>56</v>
      </c>
      <c r="B177" t="s" s="4">
        <v>57</v>
      </c>
      <c r="C177" s="3"/>
      <c r="D177" s="3"/>
      <c r="E177" s="3"/>
      <c r="F177" s="3"/>
    </row>
    <row r="178" ht="20.05" customHeight="1">
      <c r="A178" t="s" s="4">
        <v>163</v>
      </c>
      <c r="B178" t="s" s="4">
        <v>164</v>
      </c>
      <c r="C178" s="3"/>
      <c r="D178" s="3"/>
      <c r="E178" s="3"/>
      <c r="F178" s="3"/>
    </row>
    <row r="179" ht="20.05" customHeight="1">
      <c r="A179" t="s" s="4">
        <v>165</v>
      </c>
      <c r="B179" t="s" s="4">
        <v>166</v>
      </c>
      <c r="C179" s="3"/>
      <c r="D179" s="3"/>
      <c r="E179" s="3"/>
      <c r="F179" s="3"/>
    </row>
    <row r="180" ht="20.05" customHeight="1">
      <c r="A180" s="3"/>
      <c r="B180" t="s" s="4">
        <v>167</v>
      </c>
      <c r="C180" s="3"/>
      <c r="D180" s="3"/>
      <c r="E180" s="3"/>
      <c r="F180" s="3"/>
    </row>
    <row r="181" ht="20.05" customHeight="1">
      <c r="A181" s="3"/>
      <c r="B181" t="s" s="4">
        <v>168</v>
      </c>
      <c r="C181" s="3"/>
      <c r="D181" s="3"/>
      <c r="E181" s="3"/>
      <c r="F181" s="3"/>
    </row>
    <row r="182" ht="20.05" customHeight="1">
      <c r="A182" t="s" s="4">
        <v>169</v>
      </c>
      <c r="B182" t="s" s="4">
        <v>170</v>
      </c>
      <c r="C182" s="3"/>
      <c r="D182" s="3"/>
      <c r="E182" s="3"/>
      <c r="F182" s="3"/>
    </row>
    <row r="183" ht="20.05" customHeight="1">
      <c r="A183" s="3"/>
      <c r="B183" s="3"/>
      <c r="C183" s="3"/>
      <c r="D183" s="3"/>
      <c r="E183" s="3"/>
      <c r="F183" s="3"/>
    </row>
    <row r="184" ht="20.05" customHeight="1">
      <c r="A184" t="s" s="4">
        <v>171</v>
      </c>
      <c r="B184" s="3"/>
      <c r="C184" s="3"/>
      <c r="D184" s="3"/>
      <c r="E184" s="3"/>
      <c r="F184" s="3"/>
    </row>
    <row r="185" ht="20.05" customHeight="1">
      <c r="A185" t="s" s="4">
        <v>172</v>
      </c>
      <c r="B185" t="s" s="4">
        <v>173</v>
      </c>
      <c r="C185" s="3"/>
      <c r="D185" s="3"/>
      <c r="E185" s="3"/>
      <c r="F185" s="3"/>
    </row>
    <row r="186" ht="20.05" customHeight="1">
      <c r="A186" t="s" s="4">
        <v>174</v>
      </c>
      <c r="B186" t="s" s="4">
        <v>175</v>
      </c>
      <c r="C186" s="3"/>
      <c r="D186" s="3"/>
      <c r="E186" s="3"/>
      <c r="F186" s="3"/>
    </row>
    <row r="187" ht="20.05" customHeight="1">
      <c r="A187" t="s" s="4">
        <v>176</v>
      </c>
      <c r="B187" t="s" s="4">
        <v>177</v>
      </c>
      <c r="C187" s="3"/>
      <c r="D187" s="3"/>
      <c r="E187" s="3"/>
      <c r="F187" s="3"/>
    </row>
    <row r="188" ht="32.05" customHeight="1">
      <c r="A188" t="s" s="4">
        <v>178</v>
      </c>
      <c r="B188" t="s" s="4">
        <v>179</v>
      </c>
      <c r="C188" t="s" s="4">
        <v>180</v>
      </c>
      <c r="D188" s="3"/>
      <c r="E188" s="3"/>
      <c r="F188" s="3"/>
    </row>
    <row r="189" ht="32.05" customHeight="1">
      <c r="A189" s="3"/>
      <c r="B189" t="s" s="4">
        <v>181</v>
      </c>
      <c r="C189" s="3"/>
      <c r="D189" s="3"/>
      <c r="E189" s="3"/>
      <c r="F189" s="3"/>
    </row>
    <row r="190" ht="32.05" customHeight="1">
      <c r="A190" t="s" s="4">
        <v>182</v>
      </c>
      <c r="B190" s="3"/>
      <c r="C190" s="3"/>
      <c r="D190" s="3"/>
      <c r="E190" s="3"/>
      <c r="F190" s="3"/>
    </row>
    <row r="191" ht="20.05" customHeight="1">
      <c r="A191" s="3"/>
      <c r="B191" s="3"/>
      <c r="C191" s="3"/>
      <c r="D191" s="3"/>
      <c r="E191" s="3"/>
      <c r="F191" s="3"/>
    </row>
    <row r="192" ht="20.05" customHeight="1">
      <c r="A192" t="s" s="4">
        <v>183</v>
      </c>
      <c r="B192" s="3"/>
      <c r="C192" s="3"/>
      <c r="D192" s="3"/>
      <c r="E192" s="3"/>
      <c r="F192" s="3"/>
    </row>
    <row r="193" ht="20.05" customHeight="1">
      <c r="A193" s="3"/>
      <c r="B193" t="s" s="4">
        <v>184</v>
      </c>
      <c r="C193" t="s" s="4">
        <v>185</v>
      </c>
      <c r="D193" t="s" s="4">
        <v>186</v>
      </c>
      <c r="E193" s="3"/>
      <c r="F193" s="3"/>
    </row>
    <row r="194" ht="20.05" customHeight="1">
      <c r="A194" s="3"/>
      <c r="B194" s="3"/>
      <c r="C194" s="3"/>
      <c r="D194" s="5">
        <v>100000</v>
      </c>
      <c r="E194" s="3"/>
      <c r="F194" s="3"/>
    </row>
    <row r="195" ht="20.05" customHeight="1">
      <c r="A195" t="s" s="4">
        <v>187</v>
      </c>
      <c r="B195" s="3"/>
      <c r="C195" s="5">
        <f t="shared" si="42" ref="C195:C208">300000*0.05</f>
        <v>15000</v>
      </c>
      <c r="D195" s="5">
        <v>-15000</v>
      </c>
      <c r="E195" s="3"/>
      <c r="F195" s="3"/>
    </row>
    <row r="196" ht="20.05" customHeight="1">
      <c r="A196" t="s" s="4">
        <v>188</v>
      </c>
      <c r="B196" s="5">
        <f t="shared" si="43" ref="B196:B209">200000*0.05</f>
        <v>10000</v>
      </c>
      <c r="C196" s="3"/>
      <c r="D196" s="5">
        <v>-10000</v>
      </c>
      <c r="E196" s="3"/>
      <c r="F196" s="3"/>
    </row>
    <row r="197" ht="20.05" customHeight="1">
      <c r="A197" t="s" s="4">
        <v>189</v>
      </c>
      <c r="B197" s="3"/>
      <c r="C197" s="3"/>
      <c r="D197" s="5">
        <f>SUM(D194:D196)</f>
        <v>75000</v>
      </c>
      <c r="E197" s="3"/>
      <c r="F197" s="3"/>
    </row>
    <row r="198" ht="20.05" customHeight="1">
      <c r="A198" t="s" s="4">
        <v>190</v>
      </c>
      <c r="B198" s="3"/>
      <c r="C198" s="5">
        <f>75000*3/5</f>
        <v>45000</v>
      </c>
      <c r="D198" s="5">
        <v>-45000</v>
      </c>
      <c r="E198" s="3"/>
      <c r="F198" s="3"/>
    </row>
    <row r="199" ht="20.05" customHeight="1">
      <c r="A199" t="s" s="4">
        <v>191</v>
      </c>
      <c r="B199" s="5">
        <f>75000*2/5</f>
        <v>30000</v>
      </c>
      <c r="C199" s="3"/>
      <c r="D199" s="5">
        <v>-30000</v>
      </c>
      <c r="E199" s="3"/>
      <c r="F199" s="3"/>
    </row>
    <row r="200" ht="20.05" customHeight="1">
      <c r="A200" t="s" s="4">
        <v>192</v>
      </c>
      <c r="B200" s="5">
        <f>SUM(B194:B199)</f>
        <v>40000</v>
      </c>
      <c r="C200" s="5">
        <f>SUM(C195:C199)</f>
        <v>60000</v>
      </c>
      <c r="D200" s="5">
        <f>SUM(D197:D199)</f>
        <v>0</v>
      </c>
      <c r="E200" s="3"/>
      <c r="F200" s="3"/>
    </row>
    <row r="201" ht="20.05" customHeight="1">
      <c r="A201" s="3"/>
      <c r="B201" s="3"/>
      <c r="C201" s="3"/>
      <c r="D201" s="3"/>
      <c r="E201" s="3"/>
      <c r="F201" s="3"/>
    </row>
    <row r="202" ht="20.05" customHeight="1">
      <c r="A202" t="s" s="4">
        <v>193</v>
      </c>
      <c r="B202" s="5">
        <v>100000</v>
      </c>
      <c r="C202" s="3"/>
      <c r="D202" s="3"/>
      <c r="E202" s="3"/>
      <c r="F202" s="3"/>
    </row>
    <row r="203" ht="20.05" customHeight="1">
      <c r="A203" t="s" s="4">
        <v>194</v>
      </c>
      <c r="B203" s="5">
        <v>100000</v>
      </c>
      <c r="C203" s="3"/>
      <c r="D203" s="3"/>
      <c r="E203" s="3"/>
      <c r="F203" s="3"/>
    </row>
    <row r="204" ht="20.05" customHeight="1">
      <c r="A204" s="3"/>
      <c r="B204" s="3"/>
      <c r="C204" s="3"/>
      <c r="D204" s="3"/>
      <c r="E204" s="3"/>
      <c r="F204" s="3"/>
    </row>
    <row r="205" ht="20.1" customHeight="1">
      <c r="A205" t="s" s="4">
        <v>195</v>
      </c>
      <c r="B205" s="3"/>
      <c r="C205" s="3"/>
      <c r="D205" s="3"/>
      <c r="E205" s="3"/>
      <c r="F205" s="3"/>
    </row>
    <row r="206" ht="20.05" customHeight="1">
      <c r="A206" s="3"/>
      <c r="B206" t="s" s="4">
        <v>184</v>
      </c>
      <c r="C206" t="s" s="4">
        <v>185</v>
      </c>
      <c r="D206" t="s" s="4">
        <v>186</v>
      </c>
      <c r="E206" s="3"/>
      <c r="F206" s="3"/>
    </row>
    <row r="207" ht="20.05" customHeight="1">
      <c r="A207" s="3"/>
      <c r="B207" s="3"/>
      <c r="C207" s="3"/>
      <c r="D207" s="5">
        <v>100000</v>
      </c>
      <c r="E207" s="3"/>
      <c r="F207" s="3"/>
    </row>
    <row r="208" ht="20.05" customHeight="1">
      <c r="A208" t="s" s="4">
        <v>187</v>
      </c>
      <c r="B208" s="3"/>
      <c r="C208" s="5">
        <f t="shared" si="42"/>
        <v>15000</v>
      </c>
      <c r="D208" s="5">
        <v>-15000</v>
      </c>
      <c r="E208" s="3"/>
      <c r="F208" s="3"/>
    </row>
    <row r="209" ht="20.05" customHeight="1">
      <c r="A209" t="s" s="4">
        <v>188</v>
      </c>
      <c r="B209" s="5">
        <f t="shared" si="43"/>
        <v>10000</v>
      </c>
      <c r="C209" s="3"/>
      <c r="D209" s="5">
        <v>-10000</v>
      </c>
      <c r="E209" s="3"/>
      <c r="F209" s="3"/>
    </row>
    <row r="210" ht="20.05" customHeight="1">
      <c r="A210" t="s" s="4">
        <v>189</v>
      </c>
      <c r="B210" s="3"/>
      <c r="C210" s="3"/>
      <c r="D210" s="5">
        <f>SUM(D207:D209)</f>
        <v>75000</v>
      </c>
      <c r="E210" s="3"/>
      <c r="F210" s="3"/>
    </row>
    <row r="211" ht="20.05" customHeight="1">
      <c r="A211" t="s" s="4">
        <v>196</v>
      </c>
      <c r="B211" s="3"/>
      <c r="C211" s="5">
        <f>300000*0.03</f>
        <v>9000</v>
      </c>
      <c r="D211" s="5">
        <v>-9000</v>
      </c>
      <c r="E211" s="3"/>
      <c r="F211" s="3"/>
    </row>
    <row r="212" ht="20.05" customHeight="1">
      <c r="A212" t="s" s="4">
        <v>197</v>
      </c>
      <c r="B212" s="5">
        <f>D210-C211</f>
        <v>66000</v>
      </c>
      <c r="C212" s="3"/>
      <c r="D212" s="5">
        <v>-66000</v>
      </c>
      <c r="E212" s="3"/>
      <c r="F212" s="3"/>
    </row>
    <row r="213" ht="20.05" customHeight="1">
      <c r="A213" t="s" s="4">
        <v>192</v>
      </c>
      <c r="B213" s="5">
        <f>SUM(B207:B212)</f>
        <v>76000</v>
      </c>
      <c r="C213" s="5">
        <f>SUM(C208:C212)</f>
        <v>24000</v>
      </c>
      <c r="D213" s="5">
        <f>SUM(D210:D212)</f>
        <v>0</v>
      </c>
      <c r="E213" s="3"/>
      <c r="F213" s="3"/>
    </row>
    <row r="214" ht="20.05" customHeight="1">
      <c r="A214" s="3"/>
      <c r="B214" s="3"/>
      <c r="C214" s="3"/>
      <c r="D214" s="3"/>
      <c r="E214" s="3"/>
      <c r="F214" s="3"/>
    </row>
    <row r="215" ht="20.05" customHeight="1">
      <c r="A215" t="s" s="4">
        <v>198</v>
      </c>
      <c r="B215" s="3"/>
      <c r="C215" s="3"/>
      <c r="D215" s="3"/>
      <c r="E215" s="3"/>
      <c r="F215" s="3"/>
    </row>
    <row r="216" ht="20.05" customHeight="1">
      <c r="A216" t="s" s="4">
        <v>199</v>
      </c>
      <c r="B216" s="5">
        <v>1500000</v>
      </c>
      <c r="C216" s="3"/>
      <c r="D216" s="3"/>
      <c r="E216" s="3"/>
      <c r="F216" s="3"/>
    </row>
    <row r="217" ht="20.05" customHeight="1">
      <c r="A217" t="s" s="4">
        <v>200</v>
      </c>
      <c r="B217" s="5">
        <v>3500000</v>
      </c>
      <c r="C217" s="3"/>
      <c r="D217" s="3"/>
      <c r="E217" s="3"/>
      <c r="F217" s="3"/>
    </row>
    <row r="218" ht="20.05" customHeight="1">
      <c r="A218" t="s" s="4">
        <v>201</v>
      </c>
      <c r="B218" s="5">
        <f>SUM(B216:B217)</f>
        <v>5000000</v>
      </c>
      <c r="C218" s="3"/>
      <c r="D218" s="3"/>
      <c r="E218" s="3"/>
      <c r="F218" s="3"/>
    </row>
    <row r="219" ht="20.05" customHeight="1">
      <c r="A219" s="3"/>
      <c r="B219" s="3"/>
      <c r="C219" s="3"/>
      <c r="D219" s="3"/>
      <c r="E219" s="3"/>
      <c r="F219" s="3"/>
    </row>
    <row r="220" ht="20.05" customHeight="1">
      <c r="A220" t="s" s="4">
        <v>152</v>
      </c>
      <c r="B220" s="5">
        <v>5000000</v>
      </c>
      <c r="C220" s="3"/>
      <c r="D220" s="3"/>
      <c r="E220" s="3"/>
      <c r="F220" s="3"/>
    </row>
    <row r="221" ht="20.05" customHeight="1">
      <c r="A221" t="s" s="4">
        <v>202</v>
      </c>
      <c r="B221" s="5">
        <v>4500000</v>
      </c>
      <c r="C221" s="3"/>
      <c r="D221" s="3"/>
      <c r="E221" s="3"/>
      <c r="F221" s="3"/>
    </row>
    <row r="222" ht="20.05" customHeight="1">
      <c r="A222" t="s" s="4">
        <v>203</v>
      </c>
      <c r="B222" s="5">
        <v>500000</v>
      </c>
      <c r="C222" s="3"/>
      <c r="D222" s="3"/>
      <c r="E222" s="3"/>
      <c r="F222" s="3"/>
    </row>
    <row r="223" ht="20.05" customHeight="1">
      <c r="A223" s="3"/>
      <c r="B223" s="3"/>
      <c r="C223" s="3"/>
      <c r="D223" s="3"/>
      <c r="E223" s="3"/>
      <c r="F223" s="3"/>
    </row>
    <row r="224" ht="20.05" customHeight="1">
      <c r="A224" t="s" s="4">
        <v>204</v>
      </c>
      <c r="B224" s="3"/>
      <c r="C224" s="3"/>
      <c r="D224" s="3"/>
      <c r="E224" s="3"/>
      <c r="F224" s="3"/>
    </row>
    <row r="225" ht="20.05" customHeight="1">
      <c r="A225" s="3"/>
      <c r="B225" s="3"/>
      <c r="C225" s="3"/>
      <c r="D225" s="3"/>
      <c r="E225" s="3"/>
      <c r="F225" s="3"/>
    </row>
    <row r="226" ht="20.05" customHeight="1">
      <c r="A226" t="s" s="4">
        <v>205</v>
      </c>
      <c r="B226" t="s" s="4">
        <v>206</v>
      </c>
      <c r="C226" s="3"/>
      <c r="D226" s="3"/>
      <c r="E226" s="3"/>
      <c r="F226" s="3"/>
    </row>
    <row r="227" ht="20.05" customHeight="1">
      <c r="A227" t="s" s="4">
        <v>207</v>
      </c>
      <c r="B227" t="s" s="4">
        <v>208</v>
      </c>
      <c r="C227" s="3"/>
      <c r="D227" s="3"/>
      <c r="E227" s="3"/>
      <c r="F227" s="3"/>
    </row>
    <row r="228" ht="20.05" customHeight="1">
      <c r="A228" s="3"/>
      <c r="B228" s="3"/>
      <c r="C228" s="3"/>
      <c r="D228" s="3"/>
      <c r="E228" s="3"/>
      <c r="F228" s="3"/>
    </row>
    <row r="229" ht="20.05" customHeight="1">
      <c r="A229" s="3"/>
      <c r="B229" t="s" s="4">
        <v>56</v>
      </c>
      <c r="C229" t="s" s="4">
        <v>209</v>
      </c>
      <c r="D229" s="3"/>
      <c r="E229" s="3"/>
      <c r="F229" s="3"/>
    </row>
    <row r="230" ht="20.05" customHeight="1">
      <c r="A230" t="s" s="4">
        <v>210</v>
      </c>
      <c r="B230" s="5">
        <v>10</v>
      </c>
      <c r="C230" s="5">
        <v>10</v>
      </c>
      <c r="D230" s="3"/>
      <c r="E230" s="3"/>
      <c r="F230" s="3"/>
    </row>
    <row r="231" ht="20.05" customHeight="1">
      <c r="A231" t="s" s="4">
        <v>211</v>
      </c>
      <c r="B231" s="7">
        <v>0.8</v>
      </c>
      <c r="C231" s="7">
        <v>0.2</v>
      </c>
      <c r="D231" s="3"/>
      <c r="E231" s="3"/>
      <c r="F231" s="3"/>
    </row>
    <row r="232" ht="20.05" customHeight="1">
      <c r="A232" s="3"/>
      <c r="B232" s="5">
        <v>8</v>
      </c>
      <c r="C232" s="5">
        <v>2</v>
      </c>
      <c r="D232" s="3"/>
      <c r="E232" s="3"/>
      <c r="F232" s="3"/>
    </row>
    <row r="233" ht="20.05" customHeight="1">
      <c r="A233" t="s" s="4">
        <v>212</v>
      </c>
      <c r="B233" s="5">
        <v>500000</v>
      </c>
      <c r="C233" s="5">
        <v>600000</v>
      </c>
      <c r="D233" s="3"/>
      <c r="E233" s="3"/>
      <c r="F233" s="3"/>
    </row>
    <row r="234" ht="20.05" customHeight="1">
      <c r="A234" s="3"/>
      <c r="B234" s="5">
        <f>B232*B233</f>
        <v>4000000</v>
      </c>
      <c r="C234" s="5">
        <f>C233*C232</f>
        <v>1200000</v>
      </c>
      <c r="D234" s="3"/>
      <c r="E234" s="3"/>
      <c r="F234" s="3"/>
    </row>
    <row r="235" ht="20.05" customHeight="1">
      <c r="A235" s="3"/>
      <c r="B235" s="3"/>
      <c r="C235" s="3"/>
      <c r="D235" s="3"/>
      <c r="E235" s="3"/>
      <c r="F235" s="3"/>
    </row>
    <row r="236" ht="20.05" customHeight="1">
      <c r="A236" t="s" s="4">
        <v>213</v>
      </c>
      <c r="B236" s="5">
        <f>B234+C234</f>
        <v>5200000</v>
      </c>
      <c r="C236" s="3"/>
      <c r="D236" s="3"/>
      <c r="E236" s="3"/>
      <c r="F236" s="3"/>
    </row>
    <row r="237" ht="20.05" customHeight="1">
      <c r="A237" s="3"/>
      <c r="B237" s="3"/>
      <c r="C237" s="3"/>
      <c r="D237" s="3"/>
      <c r="E237" s="3"/>
      <c r="F237" s="3"/>
    </row>
    <row r="238" ht="20.05" customHeight="1">
      <c r="A238" t="s" s="4">
        <v>152</v>
      </c>
      <c r="B238" s="5">
        <v>5200000</v>
      </c>
      <c r="C238" s="3"/>
      <c r="D238" s="3"/>
      <c r="E238" s="3"/>
      <c r="F238" s="3"/>
    </row>
    <row r="239" ht="20.05" customHeight="1">
      <c r="A239" t="s" s="4">
        <v>194</v>
      </c>
      <c r="B239" s="5">
        <v>5200000</v>
      </c>
      <c r="C239" s="3"/>
      <c r="D239" s="3"/>
      <c r="E239" s="3"/>
      <c r="F239" s="3"/>
    </row>
    <row r="240" ht="20.05" customHeight="1">
      <c r="A240" s="3"/>
      <c r="B240" s="3"/>
      <c r="C240" s="3"/>
      <c r="D240" s="3"/>
      <c r="E240" s="3"/>
      <c r="F240" s="3"/>
    </row>
    <row r="241" ht="20.05" customHeight="1">
      <c r="A241" t="s" s="4">
        <v>214</v>
      </c>
      <c r="B241" s="3"/>
      <c r="C241" s="3"/>
      <c r="D241" s="3"/>
      <c r="E241" s="3"/>
      <c r="F241" s="3"/>
    </row>
    <row r="242" ht="20.05" customHeight="1">
      <c r="A242" t="s" s="4">
        <v>215</v>
      </c>
      <c r="B242" s="5">
        <v>400000</v>
      </c>
      <c r="C242" s="3"/>
      <c r="D242" s="3"/>
      <c r="E242" s="3"/>
      <c r="F242" s="3"/>
    </row>
    <row r="243" ht="20.05" customHeight="1">
      <c r="A243" t="s" s="4">
        <v>157</v>
      </c>
      <c r="B243" s="5">
        <v>-300000</v>
      </c>
      <c r="C243" s="3"/>
      <c r="D243" s="3"/>
      <c r="E243" s="3"/>
      <c r="F243" s="3"/>
    </row>
    <row r="244" ht="20.05" customHeight="1">
      <c r="A244" t="s" s="4">
        <v>216</v>
      </c>
      <c r="B244" s="5">
        <f>SUM(B242:B243)</f>
        <v>100000</v>
      </c>
      <c r="C244" s="3"/>
      <c r="D244" s="3"/>
      <c r="E244" s="3"/>
      <c r="F244" s="3"/>
    </row>
    <row r="245" ht="20.05" customHeight="1">
      <c r="A245" s="3"/>
      <c r="B245" s="3"/>
      <c r="C245" s="3"/>
      <c r="D245" s="3"/>
      <c r="E245" s="3"/>
      <c r="F245" s="3"/>
    </row>
    <row r="246" ht="20.05" customHeight="1">
      <c r="A246" t="s" s="2">
        <v>217</v>
      </c>
      <c r="B246" s="3"/>
      <c r="C246" s="3"/>
      <c r="D246" s="3"/>
      <c r="E246" s="3"/>
      <c r="F246" s="3"/>
    </row>
    <row r="247" ht="20.05" customHeight="1">
      <c r="A247" t="s" s="4">
        <v>218</v>
      </c>
      <c r="B247" s="3"/>
      <c r="C247" s="3"/>
      <c r="D247" s="3"/>
      <c r="E247" s="3"/>
      <c r="F247" s="3"/>
    </row>
    <row r="248" ht="20.05" customHeight="1">
      <c r="A248" t="s" s="4">
        <v>219</v>
      </c>
      <c r="B248" s="5">
        <v>420000</v>
      </c>
      <c r="C248" s="3"/>
      <c r="D248" s="3"/>
      <c r="E248" s="3"/>
      <c r="F248" s="3"/>
    </row>
    <row r="249" ht="20.05" customHeight="1">
      <c r="A249" t="s" s="4">
        <v>220</v>
      </c>
      <c r="B249" s="5">
        <v>-130000</v>
      </c>
      <c r="C249" s="3"/>
      <c r="D249" s="3"/>
      <c r="E249" s="3"/>
      <c r="F249" s="3"/>
    </row>
    <row r="250" ht="32.05" customHeight="1">
      <c r="A250" t="s" s="4">
        <v>221</v>
      </c>
      <c r="B250" s="5">
        <v>-30000</v>
      </c>
      <c r="C250" s="3"/>
      <c r="D250" s="3"/>
      <c r="E250" s="3"/>
      <c r="F250" s="3"/>
    </row>
    <row r="251" ht="20.05" customHeight="1">
      <c r="A251" t="s" s="4">
        <v>222</v>
      </c>
      <c r="B251" s="5">
        <f>SUM(B248:B250)</f>
        <v>260000</v>
      </c>
      <c r="C251" s="3"/>
      <c r="D251" s="3"/>
      <c r="E251" s="3"/>
      <c r="F251" s="3"/>
    </row>
    <row r="252" ht="20.05" customHeight="1">
      <c r="A252" s="3"/>
      <c r="B252" s="3"/>
      <c r="C252" s="3"/>
      <c r="D252" s="3"/>
      <c r="E252" s="3"/>
      <c r="F252" s="3"/>
    </row>
    <row r="253" ht="20.05" customHeight="1">
      <c r="A253" t="s" s="4">
        <v>223</v>
      </c>
      <c r="B253" s="3"/>
      <c r="C253" s="3"/>
      <c r="D253" s="3"/>
      <c r="E253" s="3"/>
      <c r="F253" s="3"/>
    </row>
    <row r="254" ht="20.05" customHeight="1">
      <c r="A254" t="s" s="4">
        <v>224</v>
      </c>
      <c r="B254" s="5">
        <f>80000+250000-100000+300000-100000</f>
        <v>430000</v>
      </c>
      <c r="C254" s="3"/>
      <c r="D254" s="3"/>
      <c r="E254" s="3"/>
      <c r="F254" s="3"/>
    </row>
    <row r="255" ht="20.05" customHeight="1">
      <c r="A255" t="s" s="4">
        <v>225</v>
      </c>
      <c r="B255" s="5">
        <v>-26000</v>
      </c>
      <c r="C255" s="3"/>
      <c r="D255" s="3"/>
      <c r="E255" s="3"/>
      <c r="F255" s="3"/>
    </row>
    <row r="256" ht="20.05" customHeight="1">
      <c r="A256" t="s" s="4">
        <v>226</v>
      </c>
      <c r="B256" s="5">
        <v>-45500</v>
      </c>
      <c r="C256" s="3"/>
      <c r="D256" s="3"/>
      <c r="E256" s="3"/>
      <c r="F256" s="3"/>
    </row>
    <row r="257" ht="32.05" customHeight="1">
      <c r="A257" t="s" s="4">
        <v>227</v>
      </c>
      <c r="B257" s="5">
        <f>SUM(B254:B256)</f>
        <v>358500</v>
      </c>
      <c r="C257" s="3"/>
      <c r="D257" s="3"/>
      <c r="E257" s="3"/>
      <c r="F257" s="3"/>
    </row>
    <row r="258" ht="20.05" customHeight="1">
      <c r="A258" t="s" s="4">
        <v>228</v>
      </c>
      <c r="B258" s="5">
        <v>312000</v>
      </c>
      <c r="C258" s="3"/>
      <c r="D258" s="3"/>
      <c r="E258" s="3"/>
      <c r="F258" s="3"/>
    </row>
    <row r="259" ht="20.05" customHeight="1">
      <c r="A259" t="s" s="4">
        <v>215</v>
      </c>
      <c r="B259" s="5">
        <v>-200000</v>
      </c>
      <c r="C259" s="3"/>
      <c r="D259" s="3"/>
      <c r="E259" s="3"/>
      <c r="F259" s="3"/>
    </row>
    <row r="260" ht="20.05" customHeight="1">
      <c r="A260" t="s" s="4">
        <v>229</v>
      </c>
      <c r="B260" s="5">
        <f>SUM(B257:B259)</f>
        <v>470500</v>
      </c>
      <c r="C260" s="3"/>
      <c r="D260" s="3"/>
      <c r="E260" s="3"/>
      <c r="F260" s="3"/>
    </row>
    <row r="261" ht="20.05" customHeight="1">
      <c r="A261" s="3"/>
      <c r="B261" s="3"/>
      <c r="C261" s="3"/>
      <c r="D261" s="3"/>
      <c r="E261" s="3"/>
      <c r="F261" s="3"/>
    </row>
    <row r="262" ht="20.05" customHeight="1">
      <c r="A262" t="s" s="4">
        <v>230</v>
      </c>
      <c r="B262" t="s" s="4">
        <v>231</v>
      </c>
      <c r="C262" s="3"/>
      <c r="D262" s="3"/>
      <c r="E262" s="3"/>
      <c r="F262" s="3"/>
    </row>
    <row r="263" ht="20.05" customHeight="1">
      <c r="A263" s="3"/>
      <c r="B263" t="s" s="4">
        <v>232</v>
      </c>
      <c r="C263" s="3"/>
      <c r="D263" s="3"/>
      <c r="E263" s="3"/>
      <c r="F263" s="3"/>
    </row>
    <row r="264" ht="32.05" customHeight="1">
      <c r="A264" t="s" s="4">
        <v>233</v>
      </c>
      <c r="B264" t="s" s="4">
        <v>234</v>
      </c>
      <c r="C264" s="3"/>
      <c r="D264" s="3"/>
      <c r="E264" s="3"/>
      <c r="F264" s="3"/>
    </row>
    <row r="265" ht="20.05" customHeight="1">
      <c r="A265" t="s" s="4">
        <v>235</v>
      </c>
      <c r="B265" t="s" s="4">
        <v>236</v>
      </c>
      <c r="C265" s="3"/>
      <c r="D265" s="3"/>
      <c r="E265" s="3"/>
      <c r="F265" s="3"/>
    </row>
    <row r="266" ht="20.05" customHeight="1">
      <c r="A266" s="3"/>
      <c r="B266" t="s" s="4">
        <v>237</v>
      </c>
      <c r="C266" s="3"/>
      <c r="D266" s="3"/>
      <c r="E266" s="3"/>
      <c r="F266" s="3"/>
    </row>
    <row r="267" ht="32.05" customHeight="1">
      <c r="A267" t="s" s="4">
        <v>238</v>
      </c>
      <c r="B267" s="3"/>
      <c r="C267" s="3"/>
      <c r="D267" s="3"/>
      <c r="E267" s="3"/>
      <c r="F267" s="3"/>
    </row>
    <row r="268" ht="20.05" customHeight="1">
      <c r="A268" s="3"/>
      <c r="B268" s="3"/>
      <c r="C268" s="3"/>
      <c r="D268" s="3"/>
      <c r="E268" s="3"/>
      <c r="F268" s="3"/>
    </row>
    <row r="269" ht="20.05" customHeight="1">
      <c r="A269" t="s" s="4">
        <v>239</v>
      </c>
      <c r="B269" s="5">
        <v>-6200000</v>
      </c>
      <c r="C269" s="3"/>
      <c r="D269" s="3"/>
      <c r="E269" s="3"/>
      <c r="F269" s="3"/>
    </row>
    <row r="270" ht="20.05" customHeight="1">
      <c r="A270" t="s" s="4">
        <v>240</v>
      </c>
      <c r="B270" s="5">
        <v>-300000</v>
      </c>
      <c r="C270" t="s" s="4">
        <v>241</v>
      </c>
      <c r="D270" s="3"/>
      <c r="E270" s="3"/>
      <c r="F270" s="3"/>
    </row>
    <row r="271" ht="20.05" customHeight="1">
      <c r="A271" t="s" s="4">
        <v>242</v>
      </c>
      <c r="B271" s="5">
        <v>-800000</v>
      </c>
      <c r="C271" t="s" s="4">
        <v>243</v>
      </c>
      <c r="D271" s="3"/>
      <c r="E271" s="3"/>
      <c r="F271" s="3"/>
    </row>
    <row r="272" ht="20.05" customHeight="1">
      <c r="A272" t="s" s="4">
        <v>244</v>
      </c>
      <c r="B272" s="5">
        <f>SUM(B269:B271)</f>
        <v>-7300000</v>
      </c>
      <c r="C272" s="3"/>
      <c r="D272" s="3"/>
      <c r="E272" s="3"/>
      <c r="F272" s="3"/>
    </row>
    <row r="273" ht="20.05" customHeight="1">
      <c r="A273" s="3"/>
      <c r="B273" s="3"/>
      <c r="C273" s="3"/>
      <c r="D273" s="3"/>
      <c r="E273" s="3"/>
      <c r="F273" s="3"/>
    </row>
    <row r="274" ht="20.05" customHeight="1">
      <c r="A274" t="s" s="4">
        <v>71</v>
      </c>
      <c r="B274" s="5">
        <v>1500000</v>
      </c>
      <c r="C274" s="3"/>
      <c r="D274" s="3"/>
      <c r="E274" s="3"/>
      <c r="F274" s="3"/>
    </row>
    <row r="275" ht="20.05" customHeight="1">
      <c r="A275" t="s" s="4">
        <v>245</v>
      </c>
      <c r="B275" s="5">
        <f>6000000*1/3</f>
        <v>2000000</v>
      </c>
      <c r="C275" t="s" s="4">
        <v>246</v>
      </c>
      <c r="D275" s="3"/>
      <c r="E275" s="3"/>
      <c r="F275" s="3"/>
    </row>
    <row r="276" ht="20.05" customHeight="1">
      <c r="A276" t="s" s="4">
        <v>247</v>
      </c>
      <c r="B276" s="5">
        <f>SUM(B274:B275)</f>
        <v>3500000</v>
      </c>
      <c r="C276" s="3"/>
      <c r="D276" s="3"/>
      <c r="E276" s="3"/>
      <c r="F276" s="3"/>
    </row>
    <row r="277" ht="20.05" customHeight="1">
      <c r="A277" t="s" s="4">
        <v>248</v>
      </c>
      <c r="B277" s="5">
        <f>B278-B276</f>
        <v>3800000</v>
      </c>
      <c r="C277" t="s" s="4">
        <v>249</v>
      </c>
      <c r="D277" s="3"/>
      <c r="E277" s="3"/>
      <c r="F277" s="3"/>
    </row>
    <row r="278" ht="20.05" customHeight="1">
      <c r="A278" t="s" s="4">
        <v>250</v>
      </c>
      <c r="B278" s="5">
        <v>7300000</v>
      </c>
      <c r="C278" s="3"/>
      <c r="D278" s="3"/>
      <c r="E278" s="3"/>
      <c r="F278" s="3"/>
    </row>
    <row r="279" ht="20.05" customHeight="1">
      <c r="A279" s="3"/>
      <c r="B279" s="3"/>
      <c r="C279" s="3"/>
      <c r="D279" s="3"/>
      <c r="E279" s="3"/>
      <c r="F279" s="3"/>
    </row>
    <row r="280" ht="20.05" customHeight="1">
      <c r="A280" t="s" s="4">
        <v>251</v>
      </c>
      <c r="B280" s="5">
        <v>7300000</v>
      </c>
      <c r="C280" s="3"/>
      <c r="D280" s="3"/>
      <c r="E280" s="3"/>
      <c r="F280" s="3"/>
    </row>
    <row r="281" ht="20.05" customHeight="1">
      <c r="A281" t="s" s="4">
        <v>252</v>
      </c>
      <c r="B281" s="5">
        <v>7300000</v>
      </c>
      <c r="C281" s="3"/>
      <c r="D281" s="3"/>
      <c r="E281" s="3"/>
      <c r="F281" s="3"/>
    </row>
    <row r="282" ht="20.05" customHeight="1">
      <c r="A282" s="3"/>
      <c r="B282" s="3"/>
      <c r="C282" s="3"/>
      <c r="D282" s="3"/>
      <c r="E282" s="3"/>
      <c r="F282" s="3"/>
    </row>
    <row r="283" ht="20.05" customHeight="1">
      <c r="A283" t="s" s="2">
        <v>253</v>
      </c>
      <c r="B283" s="3"/>
      <c r="C283" s="3"/>
      <c r="D283" s="3"/>
      <c r="E283" s="3"/>
      <c r="F283" s="3"/>
    </row>
    <row r="284" ht="20.05" customHeight="1">
      <c r="A284" t="s" s="4">
        <v>218</v>
      </c>
      <c r="B284" s="3"/>
      <c r="C284" s="3"/>
      <c r="D284" s="3"/>
      <c r="E284" s="3"/>
      <c r="F284" s="3"/>
    </row>
    <row r="285" ht="32.05" customHeight="1">
      <c r="A285" t="s" s="4">
        <v>254</v>
      </c>
      <c r="B285" s="5">
        <v>-3000</v>
      </c>
      <c r="C285" s="3"/>
      <c r="D285" s="3"/>
      <c r="E285" s="3"/>
      <c r="F285" s="3"/>
    </row>
    <row r="286" ht="32.05" customHeight="1">
      <c r="A286" t="s" s="4">
        <v>255</v>
      </c>
      <c r="B286" s="5">
        <v>15000</v>
      </c>
      <c r="C286" s="3"/>
      <c r="D286" s="3"/>
      <c r="E286" s="3"/>
      <c r="F286" s="3"/>
    </row>
    <row r="287" ht="44.05" customHeight="1">
      <c r="A287" t="s" s="4">
        <v>256</v>
      </c>
      <c r="B287" s="5">
        <v>-2500</v>
      </c>
      <c r="C287" s="3"/>
      <c r="D287" s="3"/>
      <c r="E287" s="3"/>
      <c r="F287" s="3"/>
    </row>
    <row r="288" ht="20.05" customHeight="1">
      <c r="A288" t="s" s="4">
        <v>257</v>
      </c>
      <c r="B288" s="5">
        <v>77000</v>
      </c>
      <c r="C288" s="3"/>
      <c r="D288" s="3"/>
      <c r="E288" s="3"/>
      <c r="F288" s="3"/>
    </row>
    <row r="289" ht="20.05" customHeight="1">
      <c r="A289" t="s" s="4">
        <v>258</v>
      </c>
      <c r="B289" s="5">
        <f>SUM(B285:B288)</f>
        <v>86500</v>
      </c>
      <c r="C289" s="3"/>
      <c r="D289" s="3"/>
      <c r="E289" s="3"/>
      <c r="F289" s="3"/>
    </row>
    <row r="290" ht="20.05" customHeight="1">
      <c r="A290" s="3"/>
      <c r="B290" s="3"/>
      <c r="C290" s="3"/>
      <c r="D290" s="3"/>
      <c r="E290" s="3"/>
      <c r="F290" s="3"/>
    </row>
    <row r="291" ht="20.05" customHeight="1">
      <c r="A291" t="s" s="4">
        <v>253</v>
      </c>
      <c r="B291" s="5">
        <f>B285+B286+B287</f>
        <v>9500</v>
      </c>
      <c r="C291" s="3"/>
      <c r="D291" s="3"/>
      <c r="E291" s="3"/>
      <c r="F291" s="3"/>
    </row>
    <row r="292" ht="20.05" customHeight="1">
      <c r="A292" s="3"/>
      <c r="B292" s="3"/>
      <c r="C292" s="3"/>
      <c r="D292" s="3"/>
      <c r="E292" s="3"/>
      <c r="F292" s="3"/>
    </row>
    <row r="293" ht="20.05" customHeight="1">
      <c r="A293" t="s" s="2">
        <v>259</v>
      </c>
      <c r="B293" s="3"/>
      <c r="C293" s="3"/>
      <c r="D293" s="3"/>
      <c r="E293" s="3"/>
      <c r="F293" s="3"/>
    </row>
    <row r="294" ht="20.05" customHeight="1">
      <c r="A294" t="s" s="4">
        <v>260</v>
      </c>
      <c r="B294" t="s" s="2">
        <v>261</v>
      </c>
      <c r="C294" s="3"/>
      <c r="D294" s="3"/>
      <c r="E294" s="3"/>
      <c r="F294" s="3"/>
    </row>
    <row r="295" ht="20.05" customHeight="1">
      <c r="A295" s="3"/>
      <c r="B295" t="s" s="4">
        <v>262</v>
      </c>
      <c r="C295" s="3"/>
      <c r="D295" s="3"/>
      <c r="E295" s="3"/>
      <c r="F295" s="3"/>
    </row>
    <row r="296" ht="20.05" customHeight="1">
      <c r="A296" s="3"/>
      <c r="B296" t="s" s="4">
        <v>263</v>
      </c>
      <c r="C296" s="3"/>
      <c r="D296" s="3"/>
      <c r="E296" s="3"/>
      <c r="F296" s="3"/>
    </row>
    <row r="297" ht="20.05" customHeight="1">
      <c r="A297" s="3"/>
      <c r="B297" s="3"/>
      <c r="C297" s="3"/>
      <c r="D297" s="3"/>
      <c r="E297" s="3"/>
      <c r="F297" s="3"/>
    </row>
    <row r="298" ht="20.05" customHeight="1">
      <c r="A298" t="s" s="4">
        <v>264</v>
      </c>
      <c r="B298" t="s" s="4">
        <v>265</v>
      </c>
      <c r="C298" s="3"/>
      <c r="D298" s="3"/>
      <c r="E298" s="3"/>
      <c r="F298" s="3"/>
    </row>
    <row r="299" ht="32.05" customHeight="1">
      <c r="A299" t="s" s="4">
        <v>266</v>
      </c>
      <c r="B299" s="3"/>
      <c r="C299" s="3"/>
      <c r="D299" s="3"/>
      <c r="E299" s="3"/>
      <c r="F299" s="3"/>
    </row>
    <row r="300" ht="20.05" customHeight="1">
      <c r="A300" t="s" s="4">
        <v>267</v>
      </c>
      <c r="B300" t="s" s="4">
        <v>268</v>
      </c>
      <c r="C300" s="3"/>
      <c r="D300" s="3"/>
      <c r="E300" s="3"/>
      <c r="F300" s="3"/>
    </row>
    <row r="301" ht="20.05" customHeight="1">
      <c r="A301" s="3"/>
      <c r="B301" t="s" s="4">
        <v>269</v>
      </c>
      <c r="C301" s="3"/>
      <c r="D301" s="3"/>
      <c r="E301" s="3"/>
      <c r="F301" s="3"/>
    </row>
    <row r="302" ht="20.05" customHeight="1">
      <c r="A302" s="3"/>
      <c r="B302" t="s" s="4">
        <v>270</v>
      </c>
      <c r="C302" t="s" s="4">
        <v>271</v>
      </c>
      <c r="D302" s="3"/>
      <c r="E302" s="3"/>
      <c r="F302" s="3"/>
    </row>
    <row r="303" ht="20.05" customHeight="1">
      <c r="A303" s="3"/>
      <c r="B303" t="s" s="4">
        <v>272</v>
      </c>
      <c r="C303" t="s" s="4">
        <v>273</v>
      </c>
      <c r="D303" s="3"/>
      <c r="E303" s="3"/>
      <c r="F303" s="3"/>
    </row>
    <row r="304" ht="20.05" customHeight="1">
      <c r="A304" s="3"/>
      <c r="B304" t="s" s="4">
        <v>274</v>
      </c>
      <c r="C304" t="s" s="4">
        <v>275</v>
      </c>
      <c r="D304" s="3"/>
      <c r="E304" s="3"/>
      <c r="F304" s="3"/>
    </row>
    <row r="305" ht="20.05" customHeight="1">
      <c r="A305" s="3"/>
      <c r="B305" t="s" s="4">
        <v>276</v>
      </c>
      <c r="C305" t="s" s="4">
        <v>277</v>
      </c>
      <c r="D305" t="s" s="4">
        <v>278</v>
      </c>
      <c r="E305" t="s" s="4">
        <v>279</v>
      </c>
      <c r="F305" s="3"/>
    </row>
    <row r="306" ht="20.05" customHeight="1">
      <c r="A306" s="3"/>
      <c r="B306" s="3"/>
      <c r="C306" s="3"/>
      <c r="D306" s="3"/>
      <c r="E306" t="s" s="4">
        <v>280</v>
      </c>
      <c r="F306" s="3"/>
    </row>
    <row r="307" ht="20.05" customHeight="1">
      <c r="A307" s="3"/>
      <c r="B307" s="3"/>
      <c r="C307" s="3"/>
      <c r="D307" s="3"/>
      <c r="E307" t="s" s="4">
        <v>281</v>
      </c>
      <c r="F307" s="3"/>
    </row>
    <row r="308" ht="20.05" customHeight="1">
      <c r="A308" s="3"/>
      <c r="B308" s="3"/>
      <c r="C308" s="3"/>
      <c r="D308" s="3"/>
      <c r="E308" t="s" s="4">
        <v>282</v>
      </c>
      <c r="F308" s="3"/>
    </row>
    <row r="309" ht="56.05" customHeight="1">
      <c r="A309" s="3"/>
      <c r="B309" s="3"/>
      <c r="C309" s="3"/>
      <c r="D309" t="s" s="4">
        <v>283</v>
      </c>
      <c r="E309" s="3"/>
      <c r="F309" s="3"/>
    </row>
    <row r="310" ht="20.05" customHeight="1">
      <c r="A310" s="3"/>
      <c r="B310" s="3"/>
      <c r="C310" s="3"/>
      <c r="D310" s="3"/>
      <c r="E310" s="3"/>
      <c r="F310" s="3"/>
    </row>
    <row r="311" ht="32.05" customHeight="1">
      <c r="A311" t="s" s="4">
        <v>284</v>
      </c>
      <c r="B311" t="s" s="4">
        <v>285</v>
      </c>
      <c r="C311" s="3"/>
      <c r="D311" s="3"/>
      <c r="E311" s="3"/>
      <c r="F311" s="3"/>
    </row>
    <row r="312" ht="20.05" customHeight="1">
      <c r="A312" s="3"/>
      <c r="B312" s="3"/>
      <c r="C312" s="3"/>
      <c r="D312" s="3"/>
      <c r="E312" s="3"/>
      <c r="F312" s="3"/>
    </row>
    <row r="313" ht="20.05" customHeight="1">
      <c r="A313" t="s" s="4">
        <v>218</v>
      </c>
      <c r="B313" s="3"/>
      <c r="C313" s="3"/>
      <c r="D313" s="3"/>
      <c r="E313" s="3"/>
      <c r="F313" s="3"/>
    </row>
    <row r="314" ht="20.05" customHeight="1">
      <c r="A314" t="s" s="4">
        <v>286</v>
      </c>
      <c r="B314" s="5">
        <f t="shared" si="29"/>
        <v>1100000</v>
      </c>
      <c r="C314" s="3"/>
      <c r="D314" s="3"/>
      <c r="E314" s="3"/>
      <c r="F314" s="3"/>
    </row>
    <row r="315" ht="20.05" customHeight="1">
      <c r="A315" t="s" s="4">
        <v>287</v>
      </c>
      <c r="B315" s="5">
        <f>50*20000*0.08</f>
        <v>80000</v>
      </c>
      <c r="C315" s="3"/>
      <c r="D315" s="3"/>
      <c r="E315" s="3"/>
      <c r="F315" s="3"/>
    </row>
    <row r="316" ht="20.05" customHeight="1">
      <c r="A316" t="s" s="4">
        <v>288</v>
      </c>
      <c r="B316" s="5">
        <f>SUM(B314:B315)</f>
        <v>1180000</v>
      </c>
      <c r="C316" s="3"/>
      <c r="D316" s="3"/>
      <c r="E316" s="3"/>
      <c r="F316" s="3"/>
    </row>
    <row r="317" ht="20.05" customHeight="1">
      <c r="A317" t="s" s="4">
        <v>289</v>
      </c>
      <c r="B317" s="5">
        <v>20000</v>
      </c>
      <c r="C317" s="3"/>
      <c r="D317" s="3"/>
      <c r="E317" s="3"/>
      <c r="F317" s="3"/>
    </row>
    <row r="318" ht="20.05" customHeight="1">
      <c r="A318" t="s" s="4">
        <v>290</v>
      </c>
      <c r="B318" s="5">
        <f>B316/B317</f>
        <v>59</v>
      </c>
      <c r="C318" s="3"/>
      <c r="D318" s="3"/>
      <c r="E318" s="3"/>
      <c r="F318" s="3"/>
    </row>
    <row r="319" ht="20.05" customHeight="1">
      <c r="A319" s="3"/>
      <c r="B319" s="3"/>
      <c r="C319" s="3"/>
      <c r="D319" s="3"/>
      <c r="E319" s="3"/>
      <c r="F319" s="3"/>
    </row>
    <row r="320" ht="20.05" customHeight="1">
      <c r="A320" t="s" s="4">
        <v>291</v>
      </c>
      <c r="B320" s="5">
        <f>1000000+2500000+400000</f>
        <v>3900000</v>
      </c>
      <c r="C320" s="3"/>
      <c r="D320" s="3"/>
      <c r="E320" s="3"/>
      <c r="F320" s="3"/>
    </row>
    <row r="321" ht="20.05" customHeight="1">
      <c r="A321" t="s" s="4">
        <v>288</v>
      </c>
      <c r="B321" s="5">
        <v>-1180000</v>
      </c>
      <c r="C321" s="3"/>
      <c r="D321" s="3"/>
      <c r="E321" s="3"/>
      <c r="F321" s="3"/>
    </row>
    <row r="322" ht="20.05" customHeight="1">
      <c r="A322" t="s" s="4">
        <v>292</v>
      </c>
      <c r="B322" s="5">
        <f>SUM(B320:B321)</f>
        <v>2720000</v>
      </c>
      <c r="C322" s="3"/>
      <c r="D322" s="3"/>
      <c r="E322" s="3"/>
      <c r="F322" s="3"/>
    </row>
    <row r="323" ht="20.05" customHeight="1">
      <c r="A323" t="s" s="4">
        <v>293</v>
      </c>
      <c r="B323" s="5">
        <v>100000</v>
      </c>
      <c r="C323" s="3"/>
      <c r="D323" s="3"/>
      <c r="E323" s="3"/>
      <c r="F323" s="3"/>
    </row>
    <row r="324" ht="20.05" customHeight="1">
      <c r="A324" t="s" s="4">
        <v>294</v>
      </c>
      <c r="B324" s="5">
        <f>B322/B323</f>
        <v>27.2</v>
      </c>
      <c r="C324" s="3"/>
      <c r="D324" s="3"/>
      <c r="E324" s="3"/>
      <c r="F324" s="3"/>
    </row>
    <row r="325" ht="20.05" customHeight="1">
      <c r="A325" s="3"/>
      <c r="B325" s="3"/>
      <c r="C325" s="3"/>
      <c r="D325" s="3"/>
      <c r="E325" s="3"/>
      <c r="F325" s="3"/>
    </row>
    <row r="326" ht="20.05" customHeight="1">
      <c r="A326" t="s" s="4">
        <v>223</v>
      </c>
      <c r="B326" s="3"/>
      <c r="C326" s="3"/>
      <c r="D326" s="3"/>
      <c r="E326" s="3"/>
      <c r="F326" s="3"/>
    </row>
    <row r="327" ht="20.05" customHeight="1">
      <c r="A327" t="s" s="4">
        <v>286</v>
      </c>
      <c r="B327" s="5">
        <f>10000*105</f>
        <v>1050000</v>
      </c>
      <c r="C327" s="3"/>
      <c r="D327" s="3"/>
      <c r="E327" s="3"/>
      <c r="F327" s="3"/>
    </row>
    <row r="328" ht="20.05" customHeight="1">
      <c r="A328" t="s" s="4">
        <v>295</v>
      </c>
      <c r="B328" s="5">
        <f>0.06*1000000</f>
        <v>60000</v>
      </c>
      <c r="C328" s="3"/>
      <c r="D328" s="3"/>
      <c r="E328" s="3"/>
      <c r="F328" s="3"/>
    </row>
    <row r="329" ht="20.05" customHeight="1">
      <c r="A329" t="s" s="4">
        <v>288</v>
      </c>
      <c r="B329" s="5">
        <f>SUM(B327:B328)</f>
        <v>1110000</v>
      </c>
      <c r="C329" s="3"/>
      <c r="D329" s="3"/>
      <c r="E329" s="3"/>
      <c r="F329" s="3"/>
    </row>
    <row r="330" ht="20.05" customHeight="1">
      <c r="A330" s="3"/>
      <c r="B330" s="3"/>
      <c r="C330" s="3"/>
      <c r="D330" s="3"/>
      <c r="E330" s="3"/>
      <c r="F330" s="3"/>
    </row>
    <row r="331" ht="20.05" customHeight="1">
      <c r="A331" t="s" s="4">
        <v>291</v>
      </c>
      <c r="B331" s="5">
        <v>4950000</v>
      </c>
      <c r="C331" s="3"/>
      <c r="D331" s="3"/>
      <c r="E331" s="3"/>
      <c r="F331" s="3"/>
    </row>
    <row r="332" ht="20.05" customHeight="1">
      <c r="A332" t="s" s="4">
        <v>288</v>
      </c>
      <c r="B332" s="5">
        <v>-1110000</v>
      </c>
      <c r="C332" s="3"/>
      <c r="D332" s="3"/>
      <c r="E332" s="3"/>
      <c r="F332" s="3"/>
    </row>
    <row r="333" ht="20.05" customHeight="1">
      <c r="A333" t="s" s="4">
        <v>292</v>
      </c>
      <c r="B333" s="5">
        <f>SUM(B331:B332)</f>
        <v>3840000</v>
      </c>
      <c r="C333" s="3"/>
      <c r="D333" s="3"/>
      <c r="E333" s="3"/>
      <c r="F333" s="3"/>
    </row>
    <row r="334" ht="20.05" customHeight="1">
      <c r="A334" t="s" s="4">
        <v>293</v>
      </c>
      <c r="B334" s="5">
        <f>3000000/60</f>
        <v>50000</v>
      </c>
      <c r="C334" s="3"/>
      <c r="D334" s="3"/>
      <c r="E334" s="3"/>
      <c r="F334" s="3"/>
    </row>
    <row r="335" ht="20.05" customHeight="1">
      <c r="A335" t="s" s="4">
        <v>294</v>
      </c>
      <c r="B335" s="5">
        <f>B333/B334</f>
        <v>76.8</v>
      </c>
      <c r="C335" s="3"/>
      <c r="D335" s="3"/>
      <c r="E335" s="3"/>
      <c r="F335" s="3"/>
    </row>
    <row r="336" ht="20.05" customHeight="1">
      <c r="A336" s="3"/>
      <c r="B336" s="3"/>
      <c r="C336" s="3"/>
      <c r="D336" s="3"/>
      <c r="E336" s="3"/>
      <c r="F336" s="3"/>
    </row>
    <row r="337" ht="20.05" customHeight="1">
      <c r="A337" t="s" s="4">
        <v>296</v>
      </c>
      <c r="B337" s="3"/>
      <c r="C337" s="3"/>
      <c r="D337" s="3"/>
      <c r="E337" s="3"/>
      <c r="F337" s="3"/>
    </row>
    <row r="338" ht="20.05" customHeight="1">
      <c r="A338" t="s" s="4">
        <v>291</v>
      </c>
      <c r="B338" s="5">
        <f>27000000</f>
        <v>27000000</v>
      </c>
      <c r="C338" s="3"/>
      <c r="D338" s="3"/>
      <c r="E338" s="3"/>
      <c r="F338" s="3"/>
    </row>
    <row r="339" ht="20.05" customHeight="1">
      <c r="A339" t="s" s="4">
        <v>288</v>
      </c>
      <c r="B339" s="5">
        <v>-6000000</v>
      </c>
      <c r="C339" s="3"/>
      <c r="D339" s="3"/>
      <c r="E339" s="3"/>
      <c r="F339" s="3"/>
    </row>
    <row r="340" ht="20.05" customHeight="1">
      <c r="A340" t="s" s="4">
        <v>292</v>
      </c>
      <c r="B340" s="5">
        <f>SUM(B338:B339)</f>
        <v>21000000</v>
      </c>
      <c r="C340" s="3"/>
      <c r="D340" s="3"/>
      <c r="E340" s="3"/>
      <c r="F340" s="3"/>
    </row>
    <row r="341" ht="20.05" customHeight="1">
      <c r="A341" t="s" s="4">
        <v>293</v>
      </c>
      <c r="B341" s="5">
        <f>15000000/100</f>
        <v>150000</v>
      </c>
      <c r="C341" s="3"/>
      <c r="D341" s="3"/>
      <c r="E341" s="3"/>
      <c r="F341" s="3"/>
    </row>
    <row r="342" ht="20.05" customHeight="1">
      <c r="A342" t="s" s="4">
        <v>294</v>
      </c>
      <c r="B342" s="5">
        <f>B340/B341</f>
        <v>140</v>
      </c>
      <c r="C342" s="3"/>
      <c r="D342" s="3"/>
      <c r="E342" s="3"/>
      <c r="F342" s="3"/>
    </row>
    <row r="343" ht="20.05" customHeight="1">
      <c r="A343" s="3"/>
      <c r="B343" s="3"/>
      <c r="C343" s="3"/>
      <c r="D343" s="3"/>
      <c r="E343" s="3"/>
      <c r="F343" s="3"/>
    </row>
    <row r="344" ht="20.05" customHeight="1">
      <c r="A344" t="s" s="4">
        <v>297</v>
      </c>
      <c r="B344" s="3"/>
      <c r="C344" s="3"/>
      <c r="D344" s="3"/>
      <c r="E344" s="3"/>
      <c r="F344" s="3"/>
    </row>
    <row r="345" ht="20.05" customHeight="1">
      <c r="A345" t="s" s="4">
        <v>298</v>
      </c>
      <c r="B345" s="5">
        <f>3400*115</f>
        <v>391000</v>
      </c>
      <c r="C345" s="3"/>
      <c r="D345" s="3"/>
      <c r="E345" s="3"/>
      <c r="F345" s="3"/>
    </row>
    <row r="346" ht="20.05" customHeight="1">
      <c r="A346" t="s" s="4">
        <v>299</v>
      </c>
      <c r="B346" s="5">
        <f>0.06*3400*100</f>
        <v>20400</v>
      </c>
      <c r="C346" s="3"/>
      <c r="D346" s="3"/>
      <c r="E346" s="3"/>
      <c r="F346" s="3"/>
    </row>
    <row r="347" ht="20.05" customHeight="1">
      <c r="A347" t="s" s="4">
        <v>288</v>
      </c>
      <c r="B347" s="5">
        <f>SUM(B345:B346)</f>
        <v>411400</v>
      </c>
      <c r="C347" s="3"/>
      <c r="D347" s="3"/>
      <c r="E347" s="3"/>
      <c r="F347" s="3"/>
    </row>
    <row r="348" ht="20.05" customHeight="1">
      <c r="A348" t="s" s="4">
        <v>289</v>
      </c>
      <c r="B348" s="5">
        <v>3400</v>
      </c>
      <c r="C348" s="3"/>
      <c r="D348" s="3"/>
      <c r="E348" s="3"/>
      <c r="F348" s="3"/>
    </row>
    <row r="349" ht="20.05" customHeight="1">
      <c r="A349" t="s" s="4">
        <v>290</v>
      </c>
      <c r="B349" s="5">
        <f>B347/B348</f>
        <v>121</v>
      </c>
      <c r="C349" s="3"/>
      <c r="D349" s="3"/>
      <c r="E349" s="3"/>
      <c r="F349" s="3"/>
    </row>
    <row r="350" ht="20.05" customHeight="1">
      <c r="A350" s="3"/>
      <c r="B350" s="3"/>
      <c r="C350" s="3"/>
      <c r="D350" s="3"/>
      <c r="E350" s="3"/>
      <c r="F350" s="3"/>
    </row>
    <row r="351" ht="20.05" customHeight="1">
      <c r="A351" t="s" s="4">
        <v>291</v>
      </c>
      <c r="B351" s="5">
        <f>400000+800000+150000+165000+458600+320000-84000</f>
        <v>2209600</v>
      </c>
      <c r="C351" s="3"/>
      <c r="D351" s="3"/>
      <c r="E351" s="3"/>
      <c r="F351" s="3"/>
    </row>
    <row r="352" ht="20.05" customHeight="1">
      <c r="A352" t="s" s="4">
        <v>288</v>
      </c>
      <c r="B352" s="5">
        <v>-411400</v>
      </c>
      <c r="C352" s="3"/>
      <c r="D352" s="3"/>
      <c r="E352" s="3"/>
      <c r="F352" s="3"/>
    </row>
    <row r="353" ht="20.05" customHeight="1">
      <c r="A353" t="s" s="4">
        <v>292</v>
      </c>
      <c r="B353" s="5">
        <f>SUM(B351:B352)</f>
        <v>1798200</v>
      </c>
      <c r="C353" s="3"/>
      <c r="D353" s="3"/>
      <c r="E353" s="3"/>
      <c r="F353" s="3"/>
    </row>
    <row r="354" ht="20.05" customHeight="1">
      <c r="A354" t="s" s="4">
        <v>293</v>
      </c>
      <c r="B354" s="5">
        <v>8000</v>
      </c>
      <c r="C354" s="3"/>
      <c r="D354" s="3"/>
      <c r="E354" s="3"/>
      <c r="F354" s="3"/>
    </row>
    <row r="355" ht="20.05" customHeight="1">
      <c r="A355" t="s" s="4">
        <v>294</v>
      </c>
      <c r="B355" s="5">
        <f>B353/B354</f>
        <v>224.775</v>
      </c>
      <c r="C355" s="3"/>
      <c r="D355" s="3"/>
      <c r="E355" s="3"/>
      <c r="F355" s="3"/>
    </row>
    <row r="356" ht="20.05" customHeight="1">
      <c r="A356" s="3"/>
      <c r="B356" s="3"/>
      <c r="C356" s="3"/>
      <c r="D356" s="3"/>
      <c r="E356" s="3"/>
      <c r="F356" s="3"/>
    </row>
    <row r="357" ht="20.05" customHeight="1">
      <c r="A357" t="s" s="4">
        <v>300</v>
      </c>
      <c r="B357" s="3"/>
      <c r="C357" s="3"/>
      <c r="D357" s="3"/>
      <c r="E357" s="3"/>
      <c r="F357" s="3"/>
    </row>
    <row r="358" ht="20.05" customHeight="1">
      <c r="A358" t="s" s="4">
        <v>291</v>
      </c>
      <c r="B358" s="5">
        <v>2209600</v>
      </c>
      <c r="C358" s="3"/>
      <c r="D358" s="3"/>
      <c r="E358" s="3"/>
      <c r="F358" s="3"/>
    </row>
    <row r="359" ht="20.05" customHeight="1">
      <c r="A359" t="s" s="4">
        <v>301</v>
      </c>
      <c r="B359" s="5">
        <v>-1140000</v>
      </c>
      <c r="C359" s="3"/>
      <c r="D359" s="3"/>
      <c r="E359" s="3"/>
      <c r="F359" s="3"/>
    </row>
    <row r="360" ht="20.05" customHeight="1">
      <c r="A360" t="s" s="4">
        <v>302</v>
      </c>
      <c r="B360" s="5">
        <f>SUM(B358:B359)</f>
        <v>1069600</v>
      </c>
      <c r="C360" s="3"/>
      <c r="D360" s="3"/>
      <c r="E360" s="3"/>
      <c r="F360" s="3"/>
    </row>
    <row r="361" ht="20.05" customHeight="1">
      <c r="A361" s="3"/>
      <c r="B361" s="3"/>
      <c r="C361" s="3"/>
      <c r="D361" s="3"/>
      <c r="E361" s="3"/>
      <c r="F361" s="3"/>
    </row>
    <row r="362" ht="32.05" customHeight="1">
      <c r="A362" t="s" s="4">
        <v>303</v>
      </c>
      <c r="B362" s="5">
        <v>150000</v>
      </c>
      <c r="C362" t="s" s="4">
        <v>108</v>
      </c>
      <c r="D362" s="3"/>
      <c r="E362" s="3"/>
      <c r="F362" s="3"/>
    </row>
    <row r="363" ht="20.05" customHeight="1">
      <c r="A363" t="s" s="4">
        <v>304</v>
      </c>
      <c r="B363" s="5">
        <v>165000</v>
      </c>
      <c r="C363" t="s" s="4">
        <v>305</v>
      </c>
      <c r="D363" s="5">
        <v>60000</v>
      </c>
      <c r="E363" s="3"/>
      <c r="F363" s="3"/>
    </row>
    <row r="364" ht="20.05" customHeight="1">
      <c r="A364" t="s" s="4">
        <v>306</v>
      </c>
      <c r="B364" s="5">
        <v>458600</v>
      </c>
      <c r="C364" t="s" s="4">
        <v>139</v>
      </c>
      <c r="D364" s="5">
        <v>-84000</v>
      </c>
      <c r="E364" s="3"/>
      <c r="F364" s="3"/>
    </row>
    <row r="365" ht="20.05" customHeight="1">
      <c r="A365" t="s" s="4">
        <v>307</v>
      </c>
      <c r="B365" s="5">
        <v>320000</v>
      </c>
      <c r="C365" s="3"/>
      <c r="D365" s="5">
        <f>SUM(D363:D364)</f>
        <v>-24000</v>
      </c>
      <c r="E365" s="3"/>
      <c r="F365" s="3"/>
    </row>
    <row r="366" ht="20.05" customHeight="1">
      <c r="A366" t="s" s="4">
        <v>308</v>
      </c>
      <c r="B366" s="5">
        <v>-24000</v>
      </c>
      <c r="C366" t="s" s="4">
        <v>309</v>
      </c>
      <c r="D366" s="5">
        <f>37.5*600</f>
        <v>22500</v>
      </c>
      <c r="E366" s="3"/>
      <c r="F366" s="3"/>
    </row>
    <row r="367" ht="20.05" customHeight="1">
      <c r="A367" t="s" s="4">
        <v>302</v>
      </c>
      <c r="B367" s="5">
        <f>SUM(B362:B366)</f>
        <v>1069600</v>
      </c>
      <c r="C367" t="s" s="4">
        <v>306</v>
      </c>
      <c r="D367" s="5">
        <f>SUM(D365:D366)</f>
        <v>-1500</v>
      </c>
      <c r="E367" s="3"/>
      <c r="F367" s="3"/>
    </row>
    <row r="368" ht="20.05" customHeight="1">
      <c r="A368" s="3"/>
      <c r="B368" s="3"/>
      <c r="C368" s="3"/>
      <c r="D368" s="3"/>
      <c r="E368" s="3"/>
      <c r="F368" s="3"/>
    </row>
    <row r="369" ht="20.05" customHeight="1">
      <c r="A369" s="3"/>
      <c r="B369" t="s" s="4">
        <v>184</v>
      </c>
      <c r="C369" t="s" s="4">
        <v>185</v>
      </c>
      <c r="D369" t="s" s="4">
        <v>278</v>
      </c>
      <c r="E369" s="3"/>
      <c r="F369" s="3"/>
    </row>
    <row r="370" ht="20.05" customHeight="1">
      <c r="A370" s="3"/>
      <c r="B370" s="3"/>
      <c r="C370" s="3"/>
      <c r="D370" s="5">
        <v>1069600</v>
      </c>
      <c r="E370" s="3"/>
      <c r="F370" s="3"/>
    </row>
    <row r="371" ht="20.05" customHeight="1">
      <c r="A371" t="s" s="4">
        <v>310</v>
      </c>
      <c r="B371" s="3"/>
      <c r="C371" s="5">
        <f>3400*100*0.06</f>
        <v>20400</v>
      </c>
      <c r="D371" s="5">
        <v>-20400</v>
      </c>
      <c r="E371" s="3"/>
      <c r="F371" s="3"/>
    </row>
    <row r="372" ht="20.05" customHeight="1">
      <c r="A372" t="s" s="4">
        <v>311</v>
      </c>
      <c r="B372" s="3"/>
      <c r="C372" s="5">
        <f>3400*15</f>
        <v>51000</v>
      </c>
      <c r="D372" s="5">
        <v>-51000</v>
      </c>
      <c r="E372" s="3"/>
      <c r="F372" s="3"/>
    </row>
    <row r="373" ht="20.05" customHeight="1">
      <c r="A373" t="s" s="4">
        <v>312</v>
      </c>
      <c r="B373" s="5">
        <f>8000*100*0.06</f>
        <v>48000</v>
      </c>
      <c r="C373" s="3"/>
      <c r="D373" s="5">
        <v>-48000</v>
      </c>
      <c r="E373" s="3"/>
      <c r="F373" s="3"/>
    </row>
    <row r="374" ht="20.05" customHeight="1">
      <c r="A374" t="s" s="4">
        <v>189</v>
      </c>
      <c r="B374" s="3"/>
      <c r="C374" s="3"/>
      <c r="D374" s="5">
        <f>SUM(D370:D373)</f>
        <v>950200</v>
      </c>
      <c r="E374" s="3"/>
      <c r="F374" s="3"/>
    </row>
    <row r="375" ht="20.05" customHeight="1">
      <c r="A375" t="s" s="4">
        <v>313</v>
      </c>
      <c r="B375" s="3"/>
      <c r="C375" s="5">
        <f>950200*340000/1140000</f>
        <v>283392.98245614</v>
      </c>
      <c r="D375" s="5">
        <f>-950200*340000/1140000</f>
        <v>-283392.98245614</v>
      </c>
      <c r="E375" s="3"/>
      <c r="F375" s="3"/>
    </row>
    <row r="376" ht="20.05" customHeight="1">
      <c r="A376" t="s" s="4">
        <v>314</v>
      </c>
      <c r="B376" s="5">
        <f>950200*800000/1140000</f>
        <v>666807.01754386</v>
      </c>
      <c r="C376" s="3"/>
      <c r="D376" s="5">
        <f>-950200*800000/1140000</f>
        <v>-666807.01754386</v>
      </c>
      <c r="E376" s="3"/>
      <c r="F376" s="3"/>
    </row>
    <row r="377" ht="20.05" customHeight="1">
      <c r="A377" t="s" s="4">
        <v>315</v>
      </c>
      <c r="B377" s="5">
        <f>SUM(B370:B376)</f>
        <v>714807.01754386</v>
      </c>
      <c r="C377" s="5">
        <f>SUM(C370:C376)</f>
        <v>354792.98245614</v>
      </c>
      <c r="D377" s="5">
        <f>SUM(D374:D376)</f>
        <v>0</v>
      </c>
      <c r="E377" s="3"/>
      <c r="F377" s="3"/>
    </row>
    <row r="378" ht="20.05" customHeight="1">
      <c r="A378" t="s" s="4">
        <v>301</v>
      </c>
      <c r="B378" s="5">
        <v>800000</v>
      </c>
      <c r="C378" s="5">
        <v>340000</v>
      </c>
      <c r="D378" s="3"/>
      <c r="E378" s="3"/>
      <c r="F378" s="3"/>
    </row>
    <row r="379" ht="20.05" customHeight="1">
      <c r="A379" t="s" s="4">
        <v>316</v>
      </c>
      <c r="B379" s="5">
        <f>SUM(B377:B378)</f>
        <v>1514807.01754386</v>
      </c>
      <c r="C379" s="5">
        <f>SUM(C377:C378)</f>
        <v>694792.98245614</v>
      </c>
      <c r="D379" s="3"/>
      <c r="E379" s="3"/>
      <c r="F379" s="3"/>
    </row>
    <row r="380" ht="20.05" customHeight="1">
      <c r="A380" t="s" s="4">
        <v>317</v>
      </c>
      <c r="B380" s="5">
        <v>8000</v>
      </c>
      <c r="C380" s="5">
        <v>3400</v>
      </c>
      <c r="D380" s="3"/>
      <c r="E380" s="3"/>
      <c r="F380" s="3"/>
    </row>
    <row r="381" ht="20.05" customHeight="1">
      <c r="A381" t="s" s="4">
        <v>318</v>
      </c>
      <c r="B381" s="5">
        <f>B379/B380</f>
        <v>189.350877192983</v>
      </c>
      <c r="C381" s="5">
        <f>C379/C380</f>
        <v>204.350877192982</v>
      </c>
      <c r="D381" s="3"/>
      <c r="E381" s="3"/>
      <c r="F381" s="3"/>
    </row>
    <row r="382" ht="20.05" customHeight="1">
      <c r="A382" s="3"/>
      <c r="B382" s="3"/>
      <c r="C382" s="3"/>
      <c r="D382" s="3"/>
      <c r="E382" s="3"/>
      <c r="F382" s="3"/>
    </row>
    <row r="383" ht="20.05" customHeight="1">
      <c r="A383" t="s" s="2">
        <v>319</v>
      </c>
      <c r="B383" s="3"/>
      <c r="C383" s="3"/>
      <c r="D383" s="3"/>
      <c r="E383" s="3"/>
      <c r="F383" s="3"/>
    </row>
    <row r="384" ht="32.05" customHeight="1">
      <c r="A384" t="s" s="4">
        <v>320</v>
      </c>
      <c r="B384" t="s" s="4">
        <v>321</v>
      </c>
      <c r="C384" s="3"/>
      <c r="D384" s="3"/>
      <c r="E384" s="3"/>
      <c r="F384" s="3"/>
    </row>
    <row r="385" ht="20.05" customHeight="1">
      <c r="A385" s="3"/>
      <c r="B385" s="3"/>
      <c r="C385" s="3"/>
      <c r="D385" s="3"/>
      <c r="E385" s="3"/>
      <c r="F385" s="3"/>
    </row>
    <row r="386" ht="20.05" customHeight="1">
      <c r="A386" s="3"/>
      <c r="B386" t="s" s="4">
        <v>322</v>
      </c>
      <c r="C386" s="3"/>
      <c r="D386" s="3"/>
      <c r="E386" s="3"/>
      <c r="F386" s="3"/>
    </row>
    <row r="387" ht="32.05" customHeight="1">
      <c r="A387" s="3"/>
      <c r="B387" t="s" s="4">
        <v>323</v>
      </c>
      <c r="C387" s="3"/>
      <c r="D387" s="3"/>
      <c r="E387" s="3"/>
      <c r="F387" s="3"/>
    </row>
    <row r="388" ht="32.05" customHeight="1">
      <c r="A388" s="3"/>
      <c r="B388" t="s" s="4">
        <v>324</v>
      </c>
      <c r="C388" s="3"/>
      <c r="D388" s="3"/>
      <c r="E388" s="3"/>
      <c r="F388" s="3"/>
    </row>
    <row r="389" ht="20.05" customHeight="1">
      <c r="A389" s="3"/>
      <c r="B389" s="3"/>
      <c r="C389" s="3"/>
      <c r="D389" s="3"/>
      <c r="E389" s="3"/>
      <c r="F389" s="3"/>
    </row>
    <row r="390" ht="20.05" customHeight="1">
      <c r="A390" s="3"/>
      <c r="B390" t="s" s="4">
        <v>325</v>
      </c>
      <c r="C390" s="3"/>
      <c r="D390" s="3"/>
      <c r="E390" s="3"/>
      <c r="F390" s="3"/>
    </row>
    <row r="391" ht="32.05" customHeight="1">
      <c r="A391" s="3"/>
      <c r="B391" t="s" s="2">
        <v>326</v>
      </c>
      <c r="C391" s="3"/>
      <c r="D391" s="3"/>
      <c r="E391" s="3"/>
      <c r="F391" s="3"/>
    </row>
    <row r="392" ht="44.05" customHeight="1">
      <c r="A392" s="3"/>
      <c r="B392" t="s" s="4">
        <v>327</v>
      </c>
      <c r="C392" s="3"/>
      <c r="D392" s="3"/>
      <c r="E392" s="3"/>
      <c r="F392" s="3"/>
    </row>
    <row r="393" ht="20.05" customHeight="1">
      <c r="A393" s="3"/>
      <c r="B393" t="s" s="4">
        <v>328</v>
      </c>
      <c r="C393" s="3"/>
      <c r="D393" s="3"/>
      <c r="E393" s="3"/>
      <c r="F393" s="3"/>
    </row>
    <row r="394" ht="32.05" customHeight="1">
      <c r="A394" s="3"/>
      <c r="B394" t="s" s="2">
        <v>326</v>
      </c>
      <c r="C394" s="3"/>
      <c r="D394" s="3"/>
      <c r="E394" s="3"/>
      <c r="F394" s="3"/>
    </row>
    <row r="395" ht="44.05" customHeight="1">
      <c r="A395" s="3"/>
      <c r="B395" t="s" s="4">
        <v>329</v>
      </c>
      <c r="C395" s="3"/>
      <c r="D395" s="3"/>
      <c r="E395" s="3"/>
      <c r="F395" s="3"/>
    </row>
    <row r="396" ht="20.05" customHeight="1">
      <c r="A396" s="3"/>
      <c r="B396" s="3"/>
      <c r="C396" s="3"/>
      <c r="D396" s="3"/>
      <c r="E396" s="3"/>
      <c r="F396" s="3"/>
    </row>
    <row r="397" ht="20.05" customHeight="1">
      <c r="A397" t="s" s="4">
        <v>218</v>
      </c>
      <c r="B397" s="3"/>
      <c r="C397" s="3"/>
      <c r="D397" s="3"/>
      <c r="E397" s="3"/>
      <c r="F397" s="3"/>
    </row>
    <row r="398" ht="20.05" customHeight="1">
      <c r="A398" t="s" s="4">
        <v>330</v>
      </c>
      <c r="B398" s="5">
        <v>250000</v>
      </c>
      <c r="C398" s="3"/>
      <c r="D398" s="3"/>
      <c r="E398" s="3"/>
      <c r="F398" s="3"/>
    </row>
    <row r="399" ht="20.05" customHeight="1">
      <c r="A399" t="s" s="4">
        <v>331</v>
      </c>
      <c r="B399" s="5">
        <v>24000</v>
      </c>
      <c r="C399" s="3"/>
      <c r="D399" s="3"/>
      <c r="E399" s="3"/>
      <c r="F399" s="3"/>
    </row>
    <row r="400" ht="20.05" customHeight="1">
      <c r="A400" t="s" s="4">
        <v>332</v>
      </c>
      <c r="B400" s="5">
        <f>SUM(B398:B399)</f>
        <v>274000</v>
      </c>
      <c r="C400" s="3"/>
      <c r="D400" s="3"/>
      <c r="E400" s="3"/>
      <c r="F400" s="3"/>
    </row>
    <row r="401" ht="20.05" customHeight="1">
      <c r="A401" t="s" s="4">
        <v>333</v>
      </c>
      <c r="B401" s="5">
        <f>B400*0.2</f>
        <v>54800</v>
      </c>
      <c r="C401" s="3"/>
      <c r="D401" s="3"/>
      <c r="E401" s="3"/>
      <c r="F401" s="3"/>
    </row>
    <row r="402" ht="20.05" customHeight="1">
      <c r="A402" t="s" s="4">
        <v>334</v>
      </c>
      <c r="B402" s="5">
        <v>16000</v>
      </c>
      <c r="C402" s="3"/>
      <c r="D402" s="3"/>
      <c r="E402" s="3"/>
      <c r="F402" s="3"/>
    </row>
    <row r="403" ht="20.05" customHeight="1">
      <c r="A403" t="s" s="4">
        <v>335</v>
      </c>
      <c r="B403" s="5">
        <v>-15000</v>
      </c>
      <c r="C403" s="3"/>
      <c r="D403" s="3"/>
      <c r="E403" s="3"/>
      <c r="F403" s="3"/>
    </row>
    <row r="404" ht="20.05" customHeight="1">
      <c r="A404" t="s" s="4">
        <v>336</v>
      </c>
      <c r="B404" s="5">
        <f>SUM(B400:B403)</f>
        <v>329800</v>
      </c>
      <c r="C404" s="3"/>
      <c r="D404" s="3"/>
      <c r="E404" s="3"/>
      <c r="F404" s="3"/>
    </row>
    <row r="405" ht="20.05" customHeight="1">
      <c r="A405" t="s" s="4">
        <v>337</v>
      </c>
      <c r="B405" s="5">
        <v>3</v>
      </c>
      <c r="C405" s="3"/>
      <c r="D405" s="3"/>
      <c r="E405" s="3"/>
      <c r="F405" s="3"/>
    </row>
    <row r="406" ht="20.05" customHeight="1">
      <c r="A406" s="3"/>
      <c r="B406" s="5">
        <f>B404*B405</f>
        <v>989400</v>
      </c>
      <c r="C406" s="3"/>
      <c r="D406" s="3"/>
      <c r="E406" s="3"/>
      <c r="F406" s="3"/>
    </row>
    <row r="407" ht="20.05" customHeight="1">
      <c r="A407" t="s" s="4">
        <v>338</v>
      </c>
      <c r="B407" s="5">
        <v>60000</v>
      </c>
      <c r="C407" s="3"/>
      <c r="D407" s="3"/>
      <c r="E407" s="3"/>
      <c r="F407" s="3"/>
    </row>
    <row r="408" ht="20.05" customHeight="1">
      <c r="A408" t="s" s="4">
        <v>339</v>
      </c>
      <c r="B408" s="5">
        <f>SUM(B406:B407)</f>
        <v>1049400</v>
      </c>
      <c r="C408" s="3"/>
      <c r="D408" s="3"/>
      <c r="E408" s="3"/>
      <c r="F408" s="3"/>
    </row>
    <row r="409" ht="20.05" customHeight="1">
      <c r="A409" s="3"/>
      <c r="B409" s="3"/>
      <c r="C409" s="3"/>
      <c r="D409" s="3"/>
      <c r="E409" s="3"/>
      <c r="F409" s="3"/>
    </row>
    <row r="410" ht="20.05" customHeight="1">
      <c r="A410" s="5">
        <v>2019</v>
      </c>
      <c r="B410" s="3"/>
      <c r="C410" s="3"/>
      <c r="D410" s="3"/>
      <c r="E410" s="3"/>
      <c r="F410" s="3"/>
    </row>
    <row r="411" ht="20.05" customHeight="1">
      <c r="A411" s="6">
        <v>44562</v>
      </c>
      <c r="B411" t="s" s="4">
        <v>340</v>
      </c>
      <c r="C411" s="5">
        <f>329800*12/12*3</f>
        <v>989400</v>
      </c>
      <c r="D411" s="3"/>
      <c r="E411" s="3"/>
      <c r="F411" s="3"/>
    </row>
    <row r="412" ht="20.05" customHeight="1">
      <c r="A412" s="6">
        <v>44805</v>
      </c>
      <c r="B412" t="s" s="4">
        <v>341</v>
      </c>
      <c r="C412" s="5">
        <f>60000*4/12</f>
        <v>20000</v>
      </c>
      <c r="D412" s="3"/>
      <c r="E412" s="3"/>
      <c r="F412" s="3"/>
    </row>
    <row r="413" ht="20.05" customHeight="1">
      <c r="A413" s="3"/>
      <c r="B413" t="s" s="4">
        <v>342</v>
      </c>
      <c r="C413" s="5">
        <f>SUM(C411:C412)</f>
        <v>1009400</v>
      </c>
      <c r="D413" s="3"/>
      <c r="E413" s="3"/>
      <c r="F413" s="3"/>
    </row>
    <row r="414" ht="20.05" customHeight="1">
      <c r="A414" s="3"/>
      <c r="B414" s="3"/>
      <c r="C414" s="3"/>
      <c r="D414" s="3"/>
      <c r="E414" s="3"/>
      <c r="F414" s="3"/>
    </row>
    <row r="415" ht="20.05" customHeight="1">
      <c r="A415" s="5">
        <v>2018</v>
      </c>
      <c r="B415" s="3"/>
      <c r="C415" s="3"/>
      <c r="D415" s="3"/>
      <c r="E415" s="3"/>
      <c r="F415" s="3"/>
    </row>
    <row r="416" ht="20.05" customHeight="1">
      <c r="A416" s="6">
        <v>44562</v>
      </c>
      <c r="B416" t="s" s="4">
        <v>343</v>
      </c>
      <c r="C416" s="5">
        <f>250000*12/12*1.2*3</f>
        <v>900000</v>
      </c>
      <c r="D416" s="3"/>
      <c r="E416" s="3"/>
      <c r="F416" s="3"/>
    </row>
    <row r="417" ht="20.05" customHeight="1">
      <c r="A417" s="6">
        <v>44621</v>
      </c>
      <c r="B417" t="s" s="4">
        <v>344</v>
      </c>
      <c r="C417" s="5">
        <f>24000*10/12*1.2*3</f>
        <v>72000</v>
      </c>
      <c r="D417" s="3"/>
      <c r="E417" s="3"/>
      <c r="F417" s="3"/>
    </row>
    <row r="418" ht="20.05" customHeight="1">
      <c r="A418" s="6">
        <v>44835</v>
      </c>
      <c r="B418" t="s" s="4">
        <v>345</v>
      </c>
      <c r="C418" s="5">
        <f>16000*3/12*3</f>
        <v>12000</v>
      </c>
      <c r="D418" s="3"/>
      <c r="E418" s="3"/>
      <c r="F418" s="3"/>
    </row>
    <row r="419" ht="20.05" customHeight="1">
      <c r="A419" s="6">
        <v>44896</v>
      </c>
      <c r="B419" t="s" s="4">
        <v>346</v>
      </c>
      <c r="C419" s="5">
        <v>-3750</v>
      </c>
      <c r="D419" s="3"/>
      <c r="E419" s="3"/>
      <c r="F419" s="3"/>
    </row>
    <row r="420" ht="20.05" customHeight="1">
      <c r="A420" s="3"/>
      <c r="B420" t="s" s="4">
        <v>342</v>
      </c>
      <c r="C420" s="5">
        <f>SUM(C416:C419)</f>
        <v>980250</v>
      </c>
      <c r="D420" s="3"/>
      <c r="E420" s="3"/>
      <c r="F420" s="3"/>
    </row>
    <row r="421" ht="20.05" customHeight="1">
      <c r="A421" s="3"/>
      <c r="B421" s="3"/>
      <c r="C421" s="3"/>
      <c r="D421" s="3"/>
      <c r="E421" s="3"/>
      <c r="F421" s="3"/>
    </row>
    <row r="422" ht="21.35" customHeight="1">
      <c r="A422" t="s" s="4">
        <v>347</v>
      </c>
      <c r="B422" t="s" s="8">
        <v>348</v>
      </c>
      <c r="C422" t="s" s="8">
        <v>349</v>
      </c>
      <c r="D422" t="s" s="8">
        <v>350</v>
      </c>
      <c r="E422" t="s" s="8">
        <v>351</v>
      </c>
      <c r="F422" s="3"/>
    </row>
    <row r="423" ht="21.35" customHeight="1">
      <c r="A423" s="3"/>
      <c r="B423" t="s" s="9">
        <v>352</v>
      </c>
      <c r="C423" t="s" s="9">
        <v>353</v>
      </c>
      <c r="D423" t="s" s="9">
        <v>353</v>
      </c>
      <c r="E423" t="s" s="9">
        <v>353</v>
      </c>
      <c r="F423" s="3"/>
    </row>
    <row r="424" ht="20.05" customHeight="1">
      <c r="A424" s="3"/>
      <c r="B424" s="3"/>
      <c r="C424" s="3"/>
      <c r="D424" s="3"/>
      <c r="E424" s="3"/>
      <c r="F424" s="3"/>
    </row>
    <row r="425" ht="20.05" customHeight="1">
      <c r="A425" s="3"/>
      <c r="B425" s="3"/>
      <c r="C425" t="s" s="4">
        <v>354</v>
      </c>
      <c r="D425" t="s" s="4">
        <v>355</v>
      </c>
      <c r="E425" t="s" s="4">
        <v>356</v>
      </c>
      <c r="F425" s="3"/>
    </row>
    <row r="426" ht="20.05" customHeight="1">
      <c r="A426" s="3"/>
      <c r="B426" s="3"/>
      <c r="C426" s="3"/>
      <c r="D426" s="3"/>
      <c r="E426" s="3"/>
      <c r="F426" s="3"/>
    </row>
    <row r="427" ht="20.05" customHeight="1">
      <c r="A427" t="s" s="10">
        <v>357</v>
      </c>
      <c r="B427" s="3"/>
      <c r="C427" s="3"/>
      <c r="D427" s="3"/>
      <c r="E427" s="3"/>
      <c r="F427" s="3"/>
    </row>
    <row r="428" ht="20.05" customHeight="1">
      <c r="A428" t="s" s="4">
        <v>354</v>
      </c>
      <c r="B428" t="s" s="4">
        <v>358</v>
      </c>
      <c r="C428" s="3"/>
      <c r="D428" s="3"/>
      <c r="E428" s="3"/>
      <c r="F428" s="3"/>
    </row>
    <row r="429" ht="20.05" customHeight="1">
      <c r="A429" s="3"/>
      <c r="B429" t="s" s="4">
        <v>359</v>
      </c>
      <c r="C429" s="3"/>
      <c r="D429" s="3"/>
      <c r="E429" s="3"/>
      <c r="F429" s="3"/>
    </row>
    <row r="430" ht="20.05" customHeight="1">
      <c r="A430" s="3"/>
      <c r="B430" t="s" s="4">
        <v>360</v>
      </c>
      <c r="C430" t="s" s="4">
        <v>361</v>
      </c>
      <c r="D430" s="3"/>
      <c r="E430" s="3"/>
      <c r="F430" s="3"/>
    </row>
    <row r="431" ht="20.05" customHeight="1">
      <c r="A431" s="3"/>
      <c r="B431" t="s" s="4">
        <v>362</v>
      </c>
      <c r="C431" t="s" s="4">
        <v>363</v>
      </c>
      <c r="D431" s="3"/>
      <c r="E431" s="3"/>
      <c r="F431" s="3"/>
    </row>
    <row r="432" ht="20.05" customHeight="1">
      <c r="A432" s="3"/>
      <c r="B432" s="3"/>
      <c r="C432" s="3"/>
      <c r="D432" s="3"/>
      <c r="E432" s="3"/>
      <c r="F432" s="3"/>
    </row>
    <row r="433" ht="20.05" customHeight="1">
      <c r="A433" s="3"/>
      <c r="B433" t="s" s="4">
        <v>364</v>
      </c>
      <c r="C433" s="3"/>
      <c r="D433" s="3"/>
      <c r="E433" s="3"/>
      <c r="F433" s="3"/>
    </row>
    <row r="434" ht="20.05" customHeight="1">
      <c r="A434" s="3"/>
      <c r="B434" t="s" s="4">
        <v>365</v>
      </c>
      <c r="C434" t="s" s="4">
        <v>366</v>
      </c>
      <c r="D434" s="3"/>
      <c r="E434" s="3"/>
      <c r="F434" s="3"/>
    </row>
    <row r="435" ht="20.05" customHeight="1">
      <c r="A435" s="3"/>
      <c r="B435" t="s" s="4">
        <v>367</v>
      </c>
      <c r="C435" t="s" s="4">
        <v>368</v>
      </c>
      <c r="D435" s="3"/>
      <c r="E435" s="3"/>
      <c r="F435" s="3"/>
    </row>
    <row r="436" ht="20.05" customHeight="1">
      <c r="A436" s="3"/>
      <c r="B436" t="s" s="4">
        <v>369</v>
      </c>
      <c r="C436" t="s" s="4">
        <v>366</v>
      </c>
      <c r="D436" s="3"/>
      <c r="E436" s="3"/>
      <c r="F436" s="3"/>
    </row>
    <row r="437" ht="20.05" customHeight="1">
      <c r="A437" s="3"/>
      <c r="B437" s="3"/>
      <c r="C437" s="3"/>
      <c r="D437" s="3"/>
      <c r="E437" s="3"/>
      <c r="F437" s="3"/>
    </row>
    <row r="438" ht="20.05" customHeight="1">
      <c r="A438" t="s" s="4">
        <v>370</v>
      </c>
      <c r="B438" t="s" s="4">
        <v>371</v>
      </c>
      <c r="C438" s="3"/>
      <c r="D438" s="3"/>
      <c r="E438" s="3"/>
      <c r="F438" s="3"/>
    </row>
    <row r="439" ht="20.05" customHeight="1">
      <c r="A439" s="3"/>
      <c r="B439" t="s" s="4">
        <v>372</v>
      </c>
      <c r="C439" t="s" s="4">
        <v>363</v>
      </c>
      <c r="D439" s="3"/>
      <c r="E439" s="3"/>
      <c r="F439" s="3"/>
    </row>
    <row r="440" ht="20.05" customHeight="1">
      <c r="A440" s="3"/>
      <c r="B440" t="s" s="4">
        <v>373</v>
      </c>
      <c r="C440" t="s" s="4">
        <v>361</v>
      </c>
      <c r="D440" s="3"/>
      <c r="E440" s="3"/>
      <c r="F440" s="3"/>
    </row>
    <row r="441" ht="20.05" customHeight="1">
      <c r="A441" s="3"/>
      <c r="B441" s="3"/>
      <c r="C441" s="3"/>
      <c r="D441" s="3"/>
      <c r="E441" s="3"/>
      <c r="F441" s="3"/>
    </row>
    <row r="442" ht="20.05" customHeight="1">
      <c r="A442" t="s" s="4">
        <v>356</v>
      </c>
      <c r="B442" t="s" s="4">
        <v>371</v>
      </c>
      <c r="C442" s="3"/>
      <c r="D442" s="3"/>
      <c r="E442" s="3"/>
      <c r="F442" s="3"/>
    </row>
    <row r="443" ht="20.05" customHeight="1">
      <c r="A443" s="3"/>
      <c r="B443" t="s" s="4">
        <v>372</v>
      </c>
      <c r="C443" t="s" s="4">
        <v>363</v>
      </c>
      <c r="D443" s="3"/>
      <c r="E443" s="3"/>
      <c r="F443" s="3"/>
    </row>
    <row r="444" ht="20.05" customHeight="1">
      <c r="A444" s="3"/>
      <c r="B444" t="s" s="4">
        <v>373</v>
      </c>
      <c r="C444" t="s" s="4">
        <v>361</v>
      </c>
      <c r="D444" s="3"/>
      <c r="E444" s="3"/>
      <c r="F444" s="3"/>
    </row>
    <row r="445" ht="20.05" customHeight="1">
      <c r="A445" s="3"/>
      <c r="B445" s="3"/>
      <c r="C445" s="3"/>
      <c r="D445" s="3"/>
      <c r="E445" s="3"/>
      <c r="F445" s="3"/>
    </row>
    <row r="446" ht="20.05" customHeight="1">
      <c r="A446" t="s" s="4">
        <v>374</v>
      </c>
      <c r="B446" t="s" s="4">
        <v>375</v>
      </c>
      <c r="C446" s="3"/>
      <c r="D446" s="3"/>
      <c r="E446" s="3"/>
      <c r="F446" s="3"/>
    </row>
    <row r="447" ht="20.05" customHeight="1">
      <c r="A447" s="3"/>
      <c r="B447" t="s" s="4">
        <v>376</v>
      </c>
      <c r="C447" s="3"/>
      <c r="D447" s="3"/>
      <c r="E447" s="3"/>
      <c r="F447" s="3"/>
    </row>
    <row r="448" ht="20.05" customHeight="1">
      <c r="A448" s="3"/>
      <c r="B448" t="s" s="4">
        <v>377</v>
      </c>
      <c r="C448" s="3"/>
      <c r="D448" s="3"/>
      <c r="E448" s="3"/>
      <c r="F448" s="3"/>
    </row>
    <row r="449" ht="20.05" customHeight="1">
      <c r="A449" s="3"/>
      <c r="B449" s="3"/>
      <c r="C449" s="3"/>
      <c r="D449" s="3"/>
      <c r="E449" s="3"/>
      <c r="F449" s="3"/>
    </row>
    <row r="450" ht="20.05" customHeight="1">
      <c r="A450" t="s" s="4">
        <v>223</v>
      </c>
      <c r="B450" s="3"/>
      <c r="C450" s="3"/>
      <c r="D450" s="3"/>
      <c r="E450" s="3"/>
      <c r="F450" s="3"/>
    </row>
    <row r="451" ht="20.05" customHeight="1">
      <c r="A451" t="s" s="4">
        <v>257</v>
      </c>
      <c r="B451" s="5">
        <v>5000000</v>
      </c>
      <c r="C451" s="3"/>
      <c r="D451" s="3"/>
      <c r="E451" s="3"/>
      <c r="F451" s="3"/>
    </row>
    <row r="452" ht="20.05" customHeight="1">
      <c r="A452" t="s" s="4">
        <v>378</v>
      </c>
      <c r="B452" s="5">
        <v>-500000</v>
      </c>
      <c r="C452" s="3"/>
      <c r="D452" s="3"/>
      <c r="E452" s="3"/>
      <c r="F452" s="3"/>
    </row>
    <row r="453" ht="20.05" customHeight="1">
      <c r="A453" s="3"/>
      <c r="B453" s="5">
        <f>SUM(B451:B452)</f>
        <v>4500000</v>
      </c>
      <c r="C453" s="3"/>
      <c r="D453" s="3"/>
      <c r="E453" s="3"/>
      <c r="F453" s="3"/>
    </row>
    <row r="454" ht="20.05" customHeight="1">
      <c r="A454" t="s" s="4">
        <v>342</v>
      </c>
      <c r="B454" s="5">
        <v>500000</v>
      </c>
      <c r="C454" s="3"/>
      <c r="D454" s="3"/>
      <c r="E454" s="3"/>
      <c r="F454" s="3"/>
    </row>
    <row r="455" ht="20.05" customHeight="1">
      <c r="A455" t="s" s="4">
        <v>320</v>
      </c>
      <c r="B455" s="5">
        <f>B453/B454</f>
        <v>9</v>
      </c>
      <c r="C455" s="3"/>
      <c r="D455" s="3"/>
      <c r="E455" s="3"/>
      <c r="F455" s="3"/>
    </row>
    <row r="456" ht="20.05" customHeight="1">
      <c r="A456" s="3"/>
      <c r="B456" s="3"/>
      <c r="C456" s="3"/>
      <c r="D456" s="3"/>
      <c r="E456" s="3"/>
      <c r="F456" s="3"/>
    </row>
    <row r="457" ht="20.05" customHeight="1">
      <c r="A457" t="s" s="4">
        <v>356</v>
      </c>
      <c r="B457" s="3"/>
      <c r="C457" s="3"/>
      <c r="D457" s="3"/>
      <c r="E457" s="3"/>
      <c r="F457" s="3"/>
    </row>
    <row r="458" ht="20.05" customHeight="1">
      <c r="A458" t="s" s="4">
        <v>378</v>
      </c>
      <c r="B458" s="5">
        <v>500000</v>
      </c>
      <c r="C458" s="3"/>
      <c r="D458" s="3"/>
      <c r="E458" s="3"/>
      <c r="F458" s="3"/>
    </row>
    <row r="459" ht="20.05" customHeight="1">
      <c r="A459" t="s" s="4">
        <v>369</v>
      </c>
      <c r="B459" s="5">
        <v>200000</v>
      </c>
      <c r="C459" s="3"/>
      <c r="D459" s="3"/>
      <c r="E459" s="3"/>
      <c r="F459" s="3"/>
    </row>
    <row r="460" ht="20.05" customHeight="1">
      <c r="A460" t="s" s="4">
        <v>379</v>
      </c>
      <c r="B460" s="5">
        <f>B458/B459</f>
        <v>2.5</v>
      </c>
      <c r="C460" t="s" s="4">
        <v>380</v>
      </c>
      <c r="D460" s="3"/>
      <c r="E460" s="3"/>
      <c r="F460" s="3"/>
    </row>
    <row r="461" ht="20.05" customHeight="1">
      <c r="A461" s="3"/>
      <c r="B461" s="3"/>
      <c r="C461" s="3"/>
      <c r="D461" s="3"/>
      <c r="E461" s="3"/>
      <c r="F461" s="3"/>
    </row>
    <row r="462" ht="20.05" customHeight="1">
      <c r="A462" t="s" s="4">
        <v>370</v>
      </c>
      <c r="B462" s="3"/>
      <c r="C462" s="3"/>
      <c r="D462" s="3"/>
      <c r="E462" s="3"/>
      <c r="F462" s="3"/>
    </row>
    <row r="463" ht="20.05" customHeight="1">
      <c r="A463" t="s" s="4">
        <v>381</v>
      </c>
      <c r="B463" s="5">
        <f>3000000*0.1*0.7</f>
        <v>210000</v>
      </c>
      <c r="C463" s="3"/>
      <c r="D463" s="3"/>
      <c r="E463" s="3"/>
      <c r="F463" s="3"/>
    </row>
    <row r="464" ht="20.05" customHeight="1">
      <c r="A464" t="s" s="4">
        <v>369</v>
      </c>
      <c r="B464" s="5">
        <v>100000</v>
      </c>
      <c r="C464" s="3"/>
      <c r="D464" s="3"/>
      <c r="E464" s="3"/>
      <c r="F464" s="3"/>
    </row>
    <row r="465" ht="20.05" customHeight="1">
      <c r="A465" t="s" s="4">
        <v>379</v>
      </c>
      <c r="B465" s="5">
        <f>B463/B464</f>
        <v>2.1</v>
      </c>
      <c r="C465" t="s" s="4">
        <v>382</v>
      </c>
      <c r="D465" s="3"/>
      <c r="E465" s="3"/>
      <c r="F465" s="3"/>
    </row>
    <row r="466" ht="20.05" customHeight="1">
      <c r="A466" s="3"/>
      <c r="B466" s="3"/>
      <c r="C466" s="3"/>
      <c r="D466" s="3"/>
      <c r="E466" s="3"/>
      <c r="F466" s="3"/>
    </row>
    <row r="467" ht="20.05" customHeight="1">
      <c r="A467" t="s" s="4">
        <v>383</v>
      </c>
      <c r="B467" s="3"/>
      <c r="C467" s="3"/>
      <c r="D467" s="3"/>
      <c r="E467" s="3"/>
      <c r="F467" s="3"/>
    </row>
    <row r="468" ht="20.05" customHeight="1">
      <c r="A468" t="s" s="4">
        <v>257</v>
      </c>
      <c r="B468" s="5">
        <v>5000000</v>
      </c>
      <c r="C468" s="3"/>
      <c r="D468" s="3"/>
      <c r="E468" s="3"/>
      <c r="F468" s="3"/>
    </row>
    <row r="469" ht="20.05" customHeight="1">
      <c r="A469" t="s" s="4">
        <v>378</v>
      </c>
      <c r="B469" s="5">
        <v>-500000</v>
      </c>
      <c r="C469" s="3"/>
      <c r="D469" s="3"/>
      <c r="E469" s="3"/>
      <c r="F469" s="3"/>
    </row>
    <row r="470" ht="20.05" customHeight="1">
      <c r="A470" t="s" s="4">
        <v>381</v>
      </c>
      <c r="B470" s="5">
        <v>210000</v>
      </c>
      <c r="C470" s="3"/>
      <c r="D470" s="3"/>
      <c r="E470" s="3"/>
      <c r="F470" s="3"/>
    </row>
    <row r="471" ht="20.05" customHeight="1">
      <c r="A471" s="3"/>
      <c r="B471" s="5">
        <f>SUM(B468:B470)</f>
        <v>4710000</v>
      </c>
      <c r="C471" s="3"/>
      <c r="D471" s="3"/>
      <c r="E471" s="3"/>
      <c r="F471" s="3"/>
    </row>
    <row r="472" ht="20.05" customHeight="1">
      <c r="A472" t="s" s="4">
        <v>342</v>
      </c>
      <c r="B472" s="5">
        <v>600000</v>
      </c>
      <c r="C472" s="3"/>
      <c r="D472" s="3"/>
      <c r="E472" s="3"/>
      <c r="F472" s="3"/>
    </row>
    <row r="473" ht="20.05" customHeight="1">
      <c r="A473" t="s" s="4">
        <v>347</v>
      </c>
      <c r="B473" s="5">
        <f>B471/B472</f>
        <v>7.85</v>
      </c>
      <c r="C473" t="s" s="4">
        <v>384</v>
      </c>
      <c r="D473" s="3"/>
      <c r="E473" s="3"/>
      <c r="F473" s="3"/>
    </row>
    <row r="474" ht="20.05" customHeight="1">
      <c r="A474" s="3"/>
      <c r="B474" s="3"/>
      <c r="C474" s="3"/>
      <c r="D474" s="3"/>
      <c r="E474" s="3"/>
      <c r="F474" s="3"/>
    </row>
    <row r="475" ht="20.05" customHeight="1">
      <c r="A475" t="s" s="4">
        <v>385</v>
      </c>
      <c r="B475" s="3"/>
      <c r="C475" s="3"/>
      <c r="D475" s="3"/>
      <c r="E475" s="3"/>
      <c r="F475" s="3"/>
    </row>
    <row r="476" ht="20.05" customHeight="1">
      <c r="A476" t="s" s="4">
        <v>386</v>
      </c>
      <c r="B476" s="5">
        <v>4710000</v>
      </c>
      <c r="C476" s="3"/>
      <c r="D476" s="3"/>
      <c r="E476" s="3"/>
      <c r="F476" s="3"/>
    </row>
    <row r="477" ht="20.05" customHeight="1">
      <c r="A477" t="s" s="4">
        <v>378</v>
      </c>
      <c r="B477" s="5">
        <v>500000</v>
      </c>
      <c r="C477" s="3"/>
      <c r="D477" s="3"/>
      <c r="E477" s="3"/>
      <c r="F477" s="3"/>
    </row>
    <row r="478" ht="20.05" customHeight="1">
      <c r="A478" s="3"/>
      <c r="B478" s="5">
        <f>SUM(B476:B477)</f>
        <v>5210000</v>
      </c>
      <c r="C478" s="3"/>
      <c r="D478" s="3"/>
      <c r="E478" s="3"/>
      <c r="F478" s="3"/>
    </row>
    <row r="479" ht="20.05" customHeight="1">
      <c r="A479" t="s" s="4">
        <v>342</v>
      </c>
      <c r="B479" s="5">
        <v>800000</v>
      </c>
      <c r="C479" s="3"/>
      <c r="D479" s="3"/>
      <c r="E479" s="3"/>
      <c r="F479" s="3"/>
    </row>
    <row r="480" ht="20.05" customHeight="1">
      <c r="A480" t="s" s="4">
        <v>347</v>
      </c>
      <c r="B480" s="5">
        <f>B478/B479</f>
        <v>6.5125</v>
      </c>
      <c r="C480" t="s" s="4">
        <v>384</v>
      </c>
      <c r="D480" s="3"/>
      <c r="E480" s="3"/>
      <c r="F480" s="3"/>
    </row>
    <row r="481" ht="20.05" customHeight="1">
      <c r="A481" s="3"/>
      <c r="B481" s="3"/>
      <c r="C481" s="3"/>
      <c r="D481" s="3"/>
      <c r="E481" s="3"/>
      <c r="F481" s="3"/>
    </row>
    <row r="482" ht="20.05" customHeight="1">
      <c r="A482" t="s" s="2">
        <v>387</v>
      </c>
      <c r="B482" t="s" s="4">
        <v>388</v>
      </c>
      <c r="C482" s="3"/>
      <c r="D482" s="3"/>
      <c r="E482" s="3"/>
      <c r="F482" s="3"/>
    </row>
    <row r="483" ht="20.05" customHeight="1">
      <c r="A483" s="3"/>
      <c r="B483" t="s" s="4">
        <v>389</v>
      </c>
      <c r="C483" t="s" s="4">
        <v>390</v>
      </c>
      <c r="D483" s="3"/>
      <c r="E483" s="3"/>
      <c r="F483" s="3"/>
    </row>
    <row r="484" ht="20.05" customHeight="1">
      <c r="A484" s="3"/>
      <c r="B484" t="s" s="4">
        <v>391</v>
      </c>
      <c r="C484" t="s" s="4">
        <v>392</v>
      </c>
      <c r="D484" s="3"/>
      <c r="E484" s="3"/>
      <c r="F484" s="3"/>
    </row>
    <row r="485" ht="20.05" customHeight="1">
      <c r="A485" s="3"/>
      <c r="B485" s="3"/>
      <c r="C485" s="3"/>
      <c r="D485" s="3"/>
      <c r="E485" s="3"/>
      <c r="F485" s="3"/>
    </row>
    <row r="486" ht="20.05" customHeight="1">
      <c r="A486" t="s" s="4">
        <v>393</v>
      </c>
      <c r="B486" t="s" s="4">
        <v>394</v>
      </c>
      <c r="C486" s="3"/>
      <c r="D486" s="3"/>
      <c r="E486" s="3"/>
      <c r="F486" s="3"/>
    </row>
    <row r="487" ht="20.05" customHeight="1">
      <c r="A487" s="3"/>
      <c r="B487" t="s" s="4">
        <v>395</v>
      </c>
      <c r="C487" t="s" s="4">
        <v>396</v>
      </c>
      <c r="D487" s="3"/>
      <c r="E487" s="3"/>
      <c r="F487" s="3"/>
    </row>
    <row r="488" ht="20.05" customHeight="1">
      <c r="A488" s="3"/>
      <c r="B488" t="s" s="4">
        <v>397</v>
      </c>
      <c r="C488" t="s" s="4">
        <v>398</v>
      </c>
      <c r="D488" s="3"/>
      <c r="E488" s="3"/>
      <c r="F488" s="3"/>
    </row>
    <row r="489" ht="20.05" customHeight="1">
      <c r="A489" s="3"/>
      <c r="B489" s="3"/>
      <c r="C489" s="3"/>
      <c r="D489" s="3"/>
      <c r="E489" s="3"/>
      <c r="F489" s="3"/>
    </row>
    <row r="490" ht="20.05" customHeight="1">
      <c r="A490" s="3"/>
      <c r="B490" t="s" s="4">
        <v>399</v>
      </c>
      <c r="C490" s="3"/>
      <c r="D490" s="3"/>
      <c r="E490" s="3"/>
      <c r="F490" s="3"/>
    </row>
    <row r="491" ht="20.05" customHeight="1">
      <c r="A491" s="3"/>
      <c r="B491" t="s" s="4">
        <v>400</v>
      </c>
      <c r="C491" t="s" s="4">
        <v>82</v>
      </c>
      <c r="D491" s="3"/>
      <c r="E491" s="3"/>
      <c r="F491" s="3"/>
    </row>
    <row r="492" ht="20.05" customHeight="1">
      <c r="A492" s="3"/>
      <c r="B492" t="s" s="4">
        <v>401</v>
      </c>
      <c r="C492" t="s" s="4">
        <v>82</v>
      </c>
      <c r="D492" s="3"/>
      <c r="E492" s="3"/>
      <c r="F492" s="3"/>
    </row>
    <row r="493" ht="20.05" customHeight="1">
      <c r="A493" s="3"/>
      <c r="B493" s="3"/>
      <c r="C493" s="3"/>
      <c r="D493" s="3"/>
      <c r="E493" s="3"/>
      <c r="F493" s="3"/>
    </row>
    <row r="494" ht="20.05" customHeight="1">
      <c r="A494" s="3"/>
      <c r="B494" t="s" s="4">
        <v>402</v>
      </c>
      <c r="C494" s="3"/>
      <c r="D494" s="3"/>
      <c r="E494" s="3"/>
      <c r="F494" s="3"/>
    </row>
    <row r="495" ht="32.05" customHeight="1">
      <c r="A495" s="3"/>
      <c r="B495" t="s" s="4">
        <v>403</v>
      </c>
      <c r="C495" t="s" s="4">
        <v>404</v>
      </c>
      <c r="D495" t="s" s="4">
        <v>405</v>
      </c>
      <c r="E495" t="s" s="4">
        <v>406</v>
      </c>
      <c r="F495" s="3"/>
    </row>
    <row r="496" ht="20.05" customHeight="1">
      <c r="A496" s="3"/>
      <c r="B496" s="3"/>
      <c r="C496" s="3"/>
      <c r="D496" t="s" s="4">
        <v>407</v>
      </c>
      <c r="E496" s="3"/>
      <c r="F496" s="3"/>
    </row>
    <row r="497" ht="20.05" customHeight="1">
      <c r="A497" s="3"/>
      <c r="B497" s="3"/>
      <c r="C497" s="3"/>
      <c r="D497" s="3"/>
      <c r="E497" s="3"/>
      <c r="F497" s="3"/>
    </row>
    <row r="498" ht="20.05" customHeight="1">
      <c r="A498" t="s" s="4">
        <v>408</v>
      </c>
      <c r="B498" t="s" s="4">
        <v>409</v>
      </c>
      <c r="C498" s="3"/>
      <c r="D498" s="3"/>
      <c r="E498" s="3"/>
      <c r="F498" s="3"/>
    </row>
    <row r="499" ht="32.05" customHeight="1">
      <c r="A499" s="3"/>
      <c r="B499" t="s" s="4">
        <v>395</v>
      </c>
      <c r="C499" t="s" s="4">
        <v>410</v>
      </c>
      <c r="D499" s="3"/>
      <c r="E499" s="3"/>
      <c r="F499" s="3"/>
    </row>
    <row r="500" ht="20.05" customHeight="1">
      <c r="A500" s="3"/>
      <c r="B500" s="3"/>
      <c r="C500" s="3"/>
      <c r="D500" s="3"/>
      <c r="E500" s="3"/>
      <c r="F500" s="3"/>
    </row>
    <row r="501" ht="20.05" customHeight="1">
      <c r="A501" s="3"/>
      <c r="B501" t="s" s="4">
        <v>399</v>
      </c>
      <c r="C501" s="3"/>
      <c r="D501" s="3"/>
      <c r="E501" s="3"/>
      <c r="F501" s="3"/>
    </row>
    <row r="502" ht="20.05" customHeight="1">
      <c r="A502" s="3"/>
      <c r="B502" t="s" s="4">
        <v>400</v>
      </c>
      <c r="C502" t="s" s="4">
        <v>82</v>
      </c>
      <c r="D502" s="3"/>
      <c r="E502" s="3"/>
      <c r="F502" s="3"/>
    </row>
    <row r="503" ht="20.05" customHeight="1">
      <c r="A503" s="3"/>
      <c r="B503" t="s" s="4">
        <v>411</v>
      </c>
      <c r="C503" t="s" s="4">
        <v>82</v>
      </c>
      <c r="D503" s="3"/>
      <c r="E503" s="3"/>
      <c r="F503" s="3"/>
    </row>
    <row r="504" ht="20.05" customHeight="1">
      <c r="A504" s="3"/>
      <c r="B504" s="3"/>
      <c r="C504" s="3"/>
      <c r="D504" s="3"/>
      <c r="E504" s="3"/>
      <c r="F504" s="3"/>
    </row>
    <row r="505" ht="20.05" customHeight="1">
      <c r="A505" s="3"/>
      <c r="B505" t="s" s="4">
        <v>402</v>
      </c>
      <c r="C505" s="3"/>
      <c r="D505" s="3"/>
      <c r="E505" s="3"/>
      <c r="F505" s="3"/>
    </row>
    <row r="506" ht="32.05" customHeight="1">
      <c r="A506" s="3"/>
      <c r="B506" t="s" s="4">
        <v>403</v>
      </c>
      <c r="C506" t="s" s="4">
        <v>412</v>
      </c>
      <c r="D506" t="s" s="4">
        <v>413</v>
      </c>
      <c r="E506" t="s" s="4">
        <v>406</v>
      </c>
      <c r="F506" s="3"/>
    </row>
    <row r="507" ht="20.05" customHeight="1">
      <c r="A507" s="3"/>
      <c r="B507" s="3"/>
      <c r="C507" s="3"/>
      <c r="D507" s="3"/>
      <c r="E507" s="3"/>
      <c r="F507" s="3"/>
    </row>
    <row r="508" ht="20.05" customHeight="1">
      <c r="A508" t="s" s="4">
        <v>300</v>
      </c>
      <c r="B508" s="3"/>
      <c r="C508" s="3"/>
      <c r="D508" s="3"/>
      <c r="E508" s="3"/>
      <c r="F508" s="3"/>
    </row>
    <row r="509" ht="20.05" customHeight="1">
      <c r="A509" t="s" s="4">
        <v>414</v>
      </c>
      <c r="B509" s="3"/>
      <c r="C509" s="3"/>
      <c r="D509" s="3"/>
      <c r="E509" s="3"/>
      <c r="F509" s="3"/>
    </row>
    <row r="510" ht="20.05" customHeight="1">
      <c r="A510" t="s" s="4">
        <v>415</v>
      </c>
      <c r="B510" s="5">
        <v>1600000</v>
      </c>
      <c r="C510" s="3"/>
      <c r="D510" s="3"/>
      <c r="E510" s="3"/>
      <c r="F510" s="3"/>
    </row>
    <row r="511" ht="20.05" customHeight="1">
      <c r="A511" t="s" s="4">
        <v>416</v>
      </c>
      <c r="B511" s="6">
        <v>44563</v>
      </c>
      <c r="C511" s="3"/>
      <c r="D511" s="3"/>
      <c r="E511" s="3"/>
      <c r="F511" s="3"/>
    </row>
    <row r="512" ht="20.05" customHeight="1">
      <c r="A512" t="s" s="4">
        <v>417</v>
      </c>
      <c r="B512" s="5">
        <v>800000</v>
      </c>
      <c r="C512" s="3"/>
      <c r="D512" s="3"/>
      <c r="E512" s="3"/>
      <c r="F512" s="3"/>
    </row>
    <row r="513" ht="20.05" customHeight="1">
      <c r="A513" s="3"/>
      <c r="B513" s="3"/>
      <c r="C513" s="3"/>
      <c r="D513" s="3"/>
      <c r="E513" s="3"/>
      <c r="F513" s="3"/>
    </row>
    <row r="514" ht="20.05" customHeight="1">
      <c r="A514" t="s" s="4">
        <v>418</v>
      </c>
      <c r="B514" s="3"/>
      <c r="C514" s="3"/>
      <c r="D514" s="3"/>
      <c r="E514" s="3"/>
      <c r="F514" s="3"/>
    </row>
    <row r="515" ht="20.05" customHeight="1">
      <c r="A515" t="s" s="4">
        <v>415</v>
      </c>
      <c r="B515" s="5">
        <v>1600000</v>
      </c>
      <c r="C515" s="3"/>
      <c r="D515" s="3"/>
      <c r="E515" s="3"/>
      <c r="F515" s="3"/>
    </row>
    <row r="516" ht="20.05" customHeight="1">
      <c r="A516" t="s" s="4">
        <v>416</v>
      </c>
      <c r="B516" s="6">
        <v>44594</v>
      </c>
      <c r="C516" s="3"/>
      <c r="D516" s="3"/>
      <c r="E516" s="3"/>
      <c r="F516" s="3"/>
    </row>
    <row r="517" ht="20.05" customHeight="1">
      <c r="A517" s="3"/>
      <c r="B517" s="5">
        <v>1600000</v>
      </c>
      <c r="C517" s="3"/>
      <c r="D517" s="3"/>
      <c r="E517" s="3"/>
      <c r="F517" s="3"/>
    </row>
    <row r="518" ht="20.05" customHeight="1">
      <c r="A518" t="s" s="4">
        <v>417</v>
      </c>
      <c r="B518" s="5">
        <v>-800000</v>
      </c>
      <c r="C518" s="3"/>
      <c r="D518" s="3"/>
      <c r="E518" s="3"/>
      <c r="F518" s="3"/>
    </row>
    <row r="519" ht="20.05" customHeight="1">
      <c r="A519" t="s" s="4">
        <v>419</v>
      </c>
      <c r="B519" s="5">
        <f>SUM(B517:B518)</f>
        <v>800000</v>
      </c>
      <c r="C519" s="3"/>
      <c r="D519" s="3"/>
      <c r="E519" s="3"/>
      <c r="F519" s="3"/>
    </row>
    <row r="520" ht="20.05" customHeight="1">
      <c r="A520" s="3"/>
      <c r="B520" s="3"/>
      <c r="C520" s="3"/>
      <c r="D520" s="3"/>
      <c r="E520" s="3"/>
      <c r="F520" s="3"/>
    </row>
    <row r="521" ht="20.05" customHeight="1">
      <c r="A521" t="s" s="4">
        <v>420</v>
      </c>
      <c r="B521" s="3"/>
      <c r="C521" s="3"/>
      <c r="D521" s="3"/>
      <c r="E521" s="3"/>
      <c r="F521" s="3"/>
    </row>
    <row r="522" ht="20.05" customHeight="1">
      <c r="A522" t="s" s="4">
        <v>421</v>
      </c>
      <c r="B522" s="5">
        <v>10000</v>
      </c>
      <c r="C522" s="3"/>
      <c r="D522" s="3"/>
      <c r="E522" s="3"/>
      <c r="F522" s="3"/>
    </row>
    <row r="523" ht="20.05" customHeight="1">
      <c r="A523" t="s" s="4">
        <v>422</v>
      </c>
      <c r="B523" s="5">
        <f>47-38</f>
        <v>9</v>
      </c>
      <c r="C523" s="3"/>
      <c r="D523" s="3"/>
      <c r="E523" s="3"/>
      <c r="F523" s="3"/>
    </row>
    <row r="524" ht="20.05" customHeight="1">
      <c r="A524" t="s" s="4">
        <v>415</v>
      </c>
      <c r="B524" s="5">
        <f>B522*B523</f>
        <v>90000</v>
      </c>
      <c r="C524" s="3"/>
      <c r="D524" s="3"/>
      <c r="E524" s="3"/>
      <c r="F524" s="3"/>
    </row>
    <row r="525" ht="20.05" customHeight="1">
      <c r="A525" t="s" s="4">
        <v>416</v>
      </c>
      <c r="B525" s="6">
        <v>44564</v>
      </c>
      <c r="C525" s="3"/>
      <c r="D525" s="3"/>
      <c r="E525" s="3"/>
      <c r="F525" s="3"/>
    </row>
    <row r="526" ht="20.05" customHeight="1">
      <c r="A526" t="s" s="4">
        <v>419</v>
      </c>
      <c r="B526" s="5">
        <f>90000*1/3</f>
        <v>30000</v>
      </c>
      <c r="C526" s="3"/>
      <c r="D526" s="3"/>
      <c r="E526" s="3"/>
      <c r="F526" s="3"/>
    </row>
    <row r="527" ht="20.05" customHeight="1">
      <c r="A527" s="3"/>
      <c r="B527" s="3"/>
      <c r="C527" s="3"/>
      <c r="D527" s="3"/>
      <c r="E527" s="3"/>
      <c r="F527" s="3"/>
    </row>
    <row r="528" ht="20.05" customHeight="1">
      <c r="A528" t="s" s="4">
        <v>423</v>
      </c>
      <c r="B528" s="3"/>
      <c r="C528" s="3"/>
      <c r="D528" s="3"/>
      <c r="E528" s="3"/>
      <c r="F528" s="3"/>
    </row>
    <row r="529" ht="20.05" customHeight="1">
      <c r="A529" t="s" s="4">
        <v>424</v>
      </c>
      <c r="B529" s="5">
        <v>20000</v>
      </c>
      <c r="C529" s="3"/>
      <c r="D529" s="3"/>
      <c r="E529" s="3"/>
      <c r="F529" s="3"/>
    </row>
    <row r="530" ht="20.05" customHeight="1">
      <c r="A530" t="s" s="4">
        <v>425</v>
      </c>
      <c r="B530" s="5">
        <f>45-30</f>
        <v>15</v>
      </c>
      <c r="C530" s="3"/>
      <c r="D530" s="3"/>
      <c r="E530" s="3"/>
      <c r="F530" s="3"/>
    </row>
    <row r="531" ht="20.05" customHeight="1">
      <c r="A531" t="s" s="4">
        <v>419</v>
      </c>
      <c r="B531" s="5">
        <f>B529*B530</f>
        <v>300000</v>
      </c>
      <c r="C531" s="3"/>
      <c r="D531" s="3"/>
      <c r="E531" s="3"/>
      <c r="F531" s="3"/>
    </row>
    <row r="532" ht="20.05" customHeight="1">
      <c r="A532" s="3"/>
      <c r="B532" s="3"/>
      <c r="C532" s="3"/>
      <c r="D532" s="3"/>
      <c r="E532" s="3"/>
      <c r="F532" s="3"/>
    </row>
    <row r="533" ht="20.05" customHeight="1">
      <c r="A533" s="3"/>
      <c r="B533" s="3"/>
      <c r="C533" s="3"/>
      <c r="D533" s="3"/>
      <c r="E533" s="3"/>
      <c r="F533" s="3"/>
    </row>
    <row r="534" ht="20.05" customHeight="1">
      <c r="A534" s="3"/>
      <c r="B534" s="3"/>
      <c r="C534" s="3"/>
      <c r="D534" s="3"/>
      <c r="E534" s="3"/>
      <c r="F534" s="3"/>
    </row>
    <row r="535" ht="20.05" customHeight="1">
      <c r="A535" s="3"/>
      <c r="B535" s="3"/>
      <c r="C535" s="3"/>
      <c r="D535" s="3"/>
      <c r="E535" s="3"/>
      <c r="F535" s="3"/>
    </row>
    <row r="536" ht="20.05" customHeight="1">
      <c r="A536" s="3"/>
      <c r="B536" s="3"/>
      <c r="C536" s="3"/>
      <c r="D536" s="3"/>
      <c r="E536" s="3"/>
      <c r="F536" s="3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